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Budget 2025\V 2\"/>
    </mc:Choice>
  </mc:AlternateContent>
  <bookViews>
    <workbookView xWindow="-120" yWindow="-120" windowWidth="29040" windowHeight="15720" tabRatio="902" firstSheet="4" activeTab="4"/>
  </bookViews>
  <sheets>
    <sheet name="Ls_XLB_WorkbookFile" sheetId="17" state="veryHidden" r:id="rId1"/>
    <sheet name="Ls_AgXLB_WorkbookFile" sheetId="16" state="veryHidden" r:id="rId2"/>
    <sheet name="Version" sheetId="115" state="hidden" r:id="rId3"/>
    <sheet name="Parameter" sheetId="59" state="hidden" r:id="rId4"/>
    <sheet name="Summary" sheetId="18" r:id="rId5"/>
    <sheet name="Rooms Summary" sheetId="132" r:id="rId6"/>
    <sheet name="Front Office" sheetId="127" r:id="rId7"/>
    <sheet name="HSKP" sheetId="130" r:id="rId8"/>
    <sheet name="Reservation" sheetId="131" r:id="rId9"/>
    <sheet name="ROOMS Admin" sheetId="144" r:id="rId10"/>
    <sheet name="F&amp;B Summary" sheetId="108" r:id="rId11"/>
    <sheet name="F&amp;B Admin" sheetId="149" r:id="rId12"/>
    <sheet name="Fangfei Lounge" sheetId="122" r:id="rId13"/>
    <sheet name="Royal Court" sheetId="123" r:id="rId14"/>
    <sheet name="MP Cafe" sheetId="124" state="hidden" r:id="rId15"/>
    <sheet name="Pingju Zhuhai" sheetId="125" r:id="rId16"/>
    <sheet name="Lobby Lounge" sheetId="119" state="hidden" r:id="rId17"/>
    <sheet name="Banquet" sheetId="121" r:id="rId18"/>
    <sheet name="Main Kitchen" sheetId="148" state="hidden" r:id="rId19"/>
    <sheet name="Room Service" sheetId="126" r:id="rId20"/>
    <sheet name="Minibar" sheetId="146" state="hidden" r:id="rId21"/>
    <sheet name="STW" sheetId="147" r:id="rId22"/>
    <sheet name="OOD" sheetId="81" r:id="rId23"/>
    <sheet name="Health Club" sheetId="134" r:id="rId24"/>
    <sheet name="Telephone" sheetId="135" state="hidden" r:id="rId25"/>
    <sheet name="Guest Laundry" sheetId="138" r:id="rId26"/>
    <sheet name="BC" sheetId="150" state="hidden" r:id="rId27"/>
    <sheet name="DYT Galleria" sheetId="151" state="hidden" r:id="rId28"/>
    <sheet name="Apartment" sheetId="152" state="hidden" r:id="rId29"/>
    <sheet name="Transportation" sheetId="136" r:id="rId30"/>
    <sheet name="A&amp;G" sheetId="83" r:id="rId31"/>
    <sheet name="EO" sheetId="139" r:id="rId32"/>
    <sheet name="Finance" sheetId="140" r:id="rId33"/>
    <sheet name="HR" sheetId="141" r:id="rId34"/>
    <sheet name="Security" sheetId="142" r:id="rId35"/>
    <sheet name="IT" sheetId="143" r:id="rId36"/>
    <sheet name="R&amp;M" sheetId="90" r:id="rId37"/>
    <sheet name="Utilities" sheetId="91" r:id="rId38"/>
    <sheet name="S&amp;M" sheetId="93" r:id="rId39"/>
    <sheet name="Laundry" sheetId="153" r:id="rId40"/>
    <sheet name="Staff Canteen" sheetId="154" r:id="rId41"/>
    <sheet name="Fixed Charge" sheetId="155" r:id="rId42"/>
  </sheets>
  <externalReferences>
    <externalReference r:id="rId43"/>
    <externalReference r:id="rId44"/>
    <externalReference r:id="rId45"/>
    <externalReference r:id="rId46"/>
  </externalReferences>
  <definedNames>
    <definedName name="_xlnm._FilterDatabase" localSheetId="33" hidden="1">HR!$Q$1:$Q$323</definedName>
    <definedName name="_xlnm._FilterDatabase" localSheetId="5" hidden="1">'Rooms Summary'!$Q$1:$Q$159</definedName>
    <definedName name="_xlnm._FilterDatabase" localSheetId="38" hidden="1">'S&amp;M'!$Q$1:$Q$198</definedName>
    <definedName name="_xlnm._FilterDatabase" localSheetId="34" hidden="1">Security!$Q$1:$Q$197</definedName>
    <definedName name="_xlnm._FilterDatabase" localSheetId="4" hidden="1">Summary!$L$1:$M$70</definedName>
    <definedName name="BUCODE" localSheetId="28">[1]Parameter!$C$5</definedName>
    <definedName name="BUCODE" localSheetId="26">[1]Parameter!$C$5</definedName>
    <definedName name="BUCODE" localSheetId="27">[1]Parameter!$C$5</definedName>
    <definedName name="BUCODE" localSheetId="31">[2]Parameter!$C$5</definedName>
    <definedName name="BUCODE" localSheetId="11">[2]Parameter!$C$5</definedName>
    <definedName name="BUCODE" localSheetId="32">[2]Parameter!$C$5</definedName>
    <definedName name="BUCODE" localSheetId="41">[2]Parameter!$C$5</definedName>
    <definedName name="BUCODE" localSheetId="6">[1]Parameter!$C$5</definedName>
    <definedName name="BUCODE" localSheetId="25">[1]Parameter!$C$5</definedName>
    <definedName name="BUCODE" localSheetId="23">[1]Parameter!$C$5</definedName>
    <definedName name="BUCODE" localSheetId="33">[2]Parameter!$C$5</definedName>
    <definedName name="BUCODE" localSheetId="7">[1]Parameter!$C$5</definedName>
    <definedName name="BUCODE" localSheetId="35">[2]Parameter!$C$5</definedName>
    <definedName name="BUCODE" localSheetId="39">[2]Parameter!$C$5</definedName>
    <definedName name="BUCODE" localSheetId="18">[2]Parameter!$C$5</definedName>
    <definedName name="BUCODE" localSheetId="20">[2]Parameter!$C$5</definedName>
    <definedName name="BUCODE" localSheetId="8">[1]Parameter!$C$5</definedName>
    <definedName name="BUCODE" localSheetId="9">[1]Parameter!$C$5</definedName>
    <definedName name="BUCODE" localSheetId="5">[1]Parameter!$C$5</definedName>
    <definedName name="BUCODE" localSheetId="34">[2]Parameter!$C$5</definedName>
    <definedName name="BUCODE" localSheetId="40">[2]Parameter!$C$5</definedName>
    <definedName name="BUCODE" localSheetId="21">[2]Parameter!$C$5</definedName>
    <definedName name="BUCODE" localSheetId="24">[1]Parameter!$C$5</definedName>
    <definedName name="BUCODE" localSheetId="29">[1]Parameter!$C$5</definedName>
    <definedName name="BUCODE">Parameter!$C$5</definedName>
    <definedName name="BUCODE_2" localSheetId="28">[3]Parameter!$C$6</definedName>
    <definedName name="BUCODE_2" localSheetId="26">[3]Parameter!$C$6</definedName>
    <definedName name="BUCODE_2" localSheetId="27">[3]Parameter!$C$6</definedName>
    <definedName name="BUCODE_2" localSheetId="25">[3]Parameter!$C$6</definedName>
    <definedName name="BUCODE_2" localSheetId="23">[3]Parameter!$C$6</definedName>
    <definedName name="BUCODE_2" localSheetId="24">[3]Parameter!$C$6</definedName>
    <definedName name="BUCODE_2" localSheetId="29">[3]Parameter!$C$6</definedName>
    <definedName name="BUCODE_2">[4]Parameter!$C$6</definedName>
    <definedName name="CP" localSheetId="28">[1]Parameter!$C$7</definedName>
    <definedName name="CP" localSheetId="26">[1]Parameter!$C$7</definedName>
    <definedName name="CP" localSheetId="27">[1]Parameter!$C$7</definedName>
    <definedName name="CP" localSheetId="31">[2]Parameter!$C$7</definedName>
    <definedName name="CP" localSheetId="11">[2]Parameter!$C$7</definedName>
    <definedName name="CP" localSheetId="32">[2]Parameter!$C$7</definedName>
    <definedName name="CP" localSheetId="41">[2]Parameter!$C$7</definedName>
    <definedName name="CP" localSheetId="6">[1]Parameter!$C$7</definedName>
    <definedName name="CP" localSheetId="25">[1]Parameter!$C$7</definedName>
    <definedName name="CP" localSheetId="23">[1]Parameter!$C$7</definedName>
    <definedName name="CP" localSheetId="33">[2]Parameter!$C$7</definedName>
    <definedName name="CP" localSheetId="7">[1]Parameter!$C$7</definedName>
    <definedName name="CP" localSheetId="35">[2]Parameter!$C$7</definedName>
    <definedName name="CP" localSheetId="39">[2]Parameter!$C$7</definedName>
    <definedName name="CP" localSheetId="18">[2]Parameter!$C$7</definedName>
    <definedName name="CP" localSheetId="20">[2]Parameter!$C$7</definedName>
    <definedName name="CP" localSheetId="8">[1]Parameter!$C$7</definedName>
    <definedName name="CP" localSheetId="9">[1]Parameter!$C$7</definedName>
    <definedName name="CP" localSheetId="5">[1]Parameter!$C$7</definedName>
    <definedName name="CP" localSheetId="34">[2]Parameter!$C$7</definedName>
    <definedName name="CP" localSheetId="40">[2]Parameter!$C$7</definedName>
    <definedName name="CP" localSheetId="21">[2]Parameter!$C$7</definedName>
    <definedName name="CP" localSheetId="24">[1]Parameter!$C$7</definedName>
    <definedName name="CP" localSheetId="29">[1]Parameter!$C$7</definedName>
    <definedName name="CP">Parameter!$C$7</definedName>
    <definedName name="HotelnameC">Parameter!$C$3</definedName>
    <definedName name="HotelnameE">Parameter!$C$2</definedName>
    <definedName name="LEDGER" localSheetId="28">[1]Parameter!$C$15</definedName>
    <definedName name="LEDGER" localSheetId="26">[1]Parameter!$C$15</definedName>
    <definedName name="LEDGER" localSheetId="27">[1]Parameter!$C$15</definedName>
    <definedName name="LEDGER" localSheetId="31">[2]Parameter!$C$15</definedName>
    <definedName name="LEDGER" localSheetId="11">[2]Parameter!$C$15</definedName>
    <definedName name="LEDGER" localSheetId="32">[2]Parameter!$C$15</definedName>
    <definedName name="LEDGER" localSheetId="41">[2]Parameter!$C$15</definedName>
    <definedName name="LEDGER" localSheetId="6">[1]Parameter!$C$15</definedName>
    <definedName name="LEDGER" localSheetId="25">[1]Parameter!$C$15</definedName>
    <definedName name="LEDGER" localSheetId="23">[1]Parameter!$C$15</definedName>
    <definedName name="LEDGER" localSheetId="33">[2]Parameter!$C$15</definedName>
    <definedName name="LEDGER" localSheetId="7">[1]Parameter!$C$15</definedName>
    <definedName name="LEDGER" localSheetId="35">[2]Parameter!$C$15</definedName>
    <definedName name="LEDGER" localSheetId="39">[2]Parameter!$C$15</definedName>
    <definedName name="LEDGER" localSheetId="18">[2]Parameter!$C$15</definedName>
    <definedName name="LEDGER" localSheetId="20">[2]Parameter!$C$15</definedName>
    <definedName name="LEDGER" localSheetId="8">[1]Parameter!$C$15</definedName>
    <definedName name="LEDGER" localSheetId="9">[1]Parameter!$C$15</definedName>
    <definedName name="LEDGER" localSheetId="5">[1]Parameter!$C$15</definedName>
    <definedName name="LEDGER" localSheetId="34">[2]Parameter!$C$15</definedName>
    <definedName name="LEDGER" localSheetId="40">[2]Parameter!$C$15</definedName>
    <definedName name="LEDGER" localSheetId="21">[2]Parameter!$C$15</definedName>
    <definedName name="LEDGER" localSheetId="24">[1]Parameter!$C$15</definedName>
    <definedName name="LEDGER" localSheetId="29">[1]Parameter!$C$15</definedName>
    <definedName name="LEDGER">Parameter!$C$15</definedName>
    <definedName name="LEDGER_K">Parameter!$C$16</definedName>
    <definedName name="_xlnm.Print_Area" localSheetId="30">'A&amp;G'!$D$1:$Q$198</definedName>
    <definedName name="_xlnm.Print_Area" localSheetId="28">Apartment!$D$4:$R$145</definedName>
    <definedName name="_xlnm.Print_Area" localSheetId="17">Banquet!$D$1:$Q$166</definedName>
    <definedName name="_xlnm.Print_Area" localSheetId="26">BC!$D$4:$Q$92</definedName>
    <definedName name="_xlnm.Print_Area" localSheetId="27">'DYT Galleria'!$D$4:$Q$70</definedName>
    <definedName name="_xlnm.Print_Area" localSheetId="31">EO!$D$1:$Q$197</definedName>
    <definedName name="_xlnm.Print_Area" localSheetId="11">'F&amp;B Admin'!$D$4:$Q$122</definedName>
    <definedName name="_xlnm.Print_Area" localSheetId="10">'F&amp;B Summary'!$D$1:$Q$205</definedName>
    <definedName name="_xlnm.Print_Area" localSheetId="12">'Fangfei Lounge'!$D$1:$Q$165</definedName>
    <definedName name="_xlnm.Print_Area" localSheetId="32">Finance!$A$1:$Q$197</definedName>
    <definedName name="_xlnm.Print_Area" localSheetId="41">'Fixed Charge'!$D$4:$Q$27</definedName>
    <definedName name="_xlnm.Print_Area" localSheetId="6">'Front Office'!$A$1:$Q$16</definedName>
    <definedName name="_xlnm.Print_Area" localSheetId="25">'Guest Laundry'!$D$4:$Q$79</definedName>
    <definedName name="_xlnm.Print_Area" localSheetId="23">'Health Club'!$D$4:$Q$99</definedName>
    <definedName name="_xlnm.Print_Area" localSheetId="33">HR!$E$4:$P$5</definedName>
    <definedName name="_xlnm.Print_Area" localSheetId="7">HSKP!$D$3:$R$120</definedName>
    <definedName name="_xlnm.Print_Area" localSheetId="35">IT!$D$204:$Q$226</definedName>
    <definedName name="_xlnm.Print_Area" localSheetId="39">Laundry!$D$4:$R$195</definedName>
    <definedName name="_xlnm.Print_Area" localSheetId="16">'Lobby Lounge'!$D$4:$R$165</definedName>
    <definedName name="_xlnm.Print_Area" localSheetId="18">'Main Kitchen'!$D$1:$Q$125</definedName>
    <definedName name="_xlnm.Print_Area" localSheetId="20">Minibar!$D$4:$R$134</definedName>
    <definedName name="_xlnm.Print_Area" localSheetId="14">'MP Cafe'!$D$4:$R$165</definedName>
    <definedName name="_xlnm.Print_Area" localSheetId="22">OOD!$B$1:$Q$100</definedName>
    <definedName name="_xlnm.Print_Area" localSheetId="15">'Pingju Zhuhai'!$D$4:$R$165</definedName>
    <definedName name="_xlnm.Print_Area" localSheetId="36">'R&amp;M'!$D$1:$Q$197</definedName>
    <definedName name="_xlnm.Print_Area" localSheetId="8">Reservation!$D$4:$Q$118</definedName>
    <definedName name="_xlnm.Print_Area" localSheetId="19">'Room Service'!$D$4:$R$165</definedName>
    <definedName name="_xlnm.Print_Area" localSheetId="9">'ROOMS Admin'!$D$4:$Q$118</definedName>
    <definedName name="_xlnm.Print_Area" localSheetId="5">'Rooms Summary'!$D$4:$Q$159</definedName>
    <definedName name="_xlnm.Print_Area" localSheetId="13">'Royal Court'!$D$4:$R$165</definedName>
    <definedName name="_xlnm.Print_Area" localSheetId="38">'S&amp;M'!$D$1:$Q$196</definedName>
    <definedName name="_xlnm.Print_Area" localSheetId="34">Security!$D$1:$Q$197</definedName>
    <definedName name="_xlnm.Print_Area" localSheetId="40">'Staff Canteen'!$D$4:$Q$193</definedName>
    <definedName name="_xlnm.Print_Area" localSheetId="21">STW!$D$1:$Q$124</definedName>
    <definedName name="_xlnm.Print_Area" localSheetId="4">Summary!$D$1:$S$82</definedName>
    <definedName name="_xlnm.Print_Area" localSheetId="24">Telephone!$D$1:$Q$137</definedName>
    <definedName name="_xlnm.Print_Area" localSheetId="29">Transportation!$D$1:$Q$133</definedName>
    <definedName name="_xlnm.Print_Area" localSheetId="37">Utilities!$A$1:$Q$27</definedName>
    <definedName name="_xlnm.Print_Titles" localSheetId="30">'A&amp;G'!$4:$10</definedName>
    <definedName name="_xlnm.Print_Titles" localSheetId="28">Apartment!$1:$10</definedName>
    <definedName name="_xlnm.Print_Titles" localSheetId="17">Banquet!$1:$10</definedName>
    <definedName name="_xlnm.Print_Titles" localSheetId="26">BC!$1:$10</definedName>
    <definedName name="_xlnm.Print_Titles" localSheetId="27">'DYT Galleria'!$1:$10</definedName>
    <definedName name="_xlnm.Print_Titles" localSheetId="31">EO!$1:$10</definedName>
    <definedName name="_xlnm.Print_Titles" localSheetId="11">'F&amp;B Admin'!$1:$10</definedName>
    <definedName name="_xlnm.Print_Titles" localSheetId="10">'F&amp;B Summary'!$4:$10</definedName>
    <definedName name="_xlnm.Print_Titles" localSheetId="12">'Fangfei Lounge'!$1:$10</definedName>
    <definedName name="_xlnm.Print_Titles" localSheetId="32">Finance!$1:$10</definedName>
    <definedName name="_xlnm.Print_Titles" localSheetId="41">'Fixed Charge'!$4:$10</definedName>
    <definedName name="_xlnm.Print_Titles" localSheetId="6">'Front Office'!$1:$10</definedName>
    <definedName name="_xlnm.Print_Titles" localSheetId="25">'Guest Laundry'!$1:$10</definedName>
    <definedName name="_xlnm.Print_Titles" localSheetId="23">'Health Club'!$1:$10</definedName>
    <definedName name="_xlnm.Print_Titles" localSheetId="33">HR!$1:$10</definedName>
    <definedName name="_xlnm.Print_Titles" localSheetId="7">HSKP!$1:$10</definedName>
    <definedName name="_xlnm.Print_Titles" localSheetId="35">IT!$1:$10</definedName>
    <definedName name="_xlnm.Print_Titles" localSheetId="39">Laundry!$1:$10</definedName>
    <definedName name="_xlnm.Print_Titles" localSheetId="16">'Lobby Lounge'!$1:$10</definedName>
    <definedName name="_xlnm.Print_Titles" localSheetId="18">'Main Kitchen'!$1:$10</definedName>
    <definedName name="_xlnm.Print_Titles" localSheetId="20">Minibar!$1:$10</definedName>
    <definedName name="_xlnm.Print_Titles" localSheetId="14">'MP Cafe'!$1:$10</definedName>
    <definedName name="_xlnm.Print_Titles" localSheetId="22">OOD!$4:$10</definedName>
    <definedName name="_xlnm.Print_Titles" localSheetId="15">'Pingju Zhuhai'!$1:$10</definedName>
    <definedName name="_xlnm.Print_Titles" localSheetId="36">'R&amp;M'!$4:$10</definedName>
    <definedName name="_xlnm.Print_Titles" localSheetId="8">Reservation!$1:$10</definedName>
    <definedName name="_xlnm.Print_Titles" localSheetId="19">'Room Service'!$1:$10</definedName>
    <definedName name="_xlnm.Print_Titles" localSheetId="9">'ROOMS Admin'!$1:$10</definedName>
    <definedName name="_xlnm.Print_Titles" localSheetId="5">'Rooms Summary'!$4:$10</definedName>
    <definedName name="_xlnm.Print_Titles" localSheetId="13">'Royal Court'!$1:$10</definedName>
    <definedName name="_xlnm.Print_Titles" localSheetId="38">'S&amp;M'!$4:$10</definedName>
    <definedName name="_xlnm.Print_Titles" localSheetId="34">Security!$1:$10</definedName>
    <definedName name="_xlnm.Print_Titles" localSheetId="40">'Staff Canteen'!$1:$10</definedName>
    <definedName name="_xlnm.Print_Titles" localSheetId="21">STW!$1:$10</definedName>
    <definedName name="_xlnm.Print_Titles" localSheetId="24">Telephone!$1:$10</definedName>
    <definedName name="_xlnm.Print_Titles" localSheetId="29">Transportation!$1:$10</definedName>
    <definedName name="_xlnm.Print_Titles" localSheetId="37">Utilities!$4:$10</definedName>
    <definedName name="YEAR" localSheetId="28">[1]Parameter!$C$8</definedName>
    <definedName name="YEAR" localSheetId="26">[1]Parameter!$C$8</definedName>
    <definedName name="YEAR" localSheetId="27">[1]Parameter!$C$8</definedName>
    <definedName name="YEAR" localSheetId="6">[1]Parameter!$C$8</definedName>
    <definedName name="YEAR" localSheetId="25">[1]Parameter!$C$8</definedName>
    <definedName name="YEAR" localSheetId="23">[1]Parameter!$C$8</definedName>
    <definedName name="YEAR" localSheetId="7">[1]Parameter!$C$8</definedName>
    <definedName name="YEAR" localSheetId="8">[1]Parameter!$C$8</definedName>
    <definedName name="YEAR" localSheetId="9">[1]Parameter!$C$8</definedName>
    <definedName name="YEAR" localSheetId="5">[1]Parameter!$C$8</definedName>
    <definedName name="YEAR" localSheetId="24">[1]Parameter!$C$8</definedName>
    <definedName name="YEAR" localSheetId="29">[1]Parameter!$C$8</definedName>
    <definedName name="YEAR">Parameter!$C$8</definedName>
    <definedName name="Z_06305A94_F293_4CE3_8C98_A35E374FB03C_.wvu.Cols" localSheetId="30" hidden="1">'A&amp;G'!#REF!,'A&amp;G'!#REF!</definedName>
    <definedName name="Z_06305A94_F293_4CE3_8C98_A35E374FB03C_.wvu.Cols" localSheetId="28" hidden="1">Apartment!#REF!,Apartment!#REF!</definedName>
    <definedName name="Z_06305A94_F293_4CE3_8C98_A35E374FB03C_.wvu.Cols" localSheetId="17" hidden="1">Banquet!#REF!,Banquet!#REF!</definedName>
    <definedName name="Z_06305A94_F293_4CE3_8C98_A35E374FB03C_.wvu.Cols" localSheetId="26" hidden="1">BC!#REF!,BC!#REF!</definedName>
    <definedName name="Z_06305A94_F293_4CE3_8C98_A35E374FB03C_.wvu.Cols" localSheetId="27" hidden="1">'DYT Galleria'!#REF!,'DYT Galleria'!#REF!</definedName>
    <definedName name="Z_06305A94_F293_4CE3_8C98_A35E374FB03C_.wvu.Cols" localSheetId="31" hidden="1">EO!#REF!,EO!#REF!</definedName>
    <definedName name="Z_06305A94_F293_4CE3_8C98_A35E374FB03C_.wvu.Cols" localSheetId="11" hidden="1">'F&amp;B Admin'!#REF!,'F&amp;B Admin'!#REF!</definedName>
    <definedName name="Z_06305A94_F293_4CE3_8C98_A35E374FB03C_.wvu.Cols" localSheetId="10" hidden="1">'F&amp;B Summary'!#REF!,'F&amp;B Summary'!#REF!</definedName>
    <definedName name="Z_06305A94_F293_4CE3_8C98_A35E374FB03C_.wvu.Cols" localSheetId="12" hidden="1">'Fangfei Lounge'!#REF!,'Fangfei Lounge'!#REF!</definedName>
    <definedName name="Z_06305A94_F293_4CE3_8C98_A35E374FB03C_.wvu.Cols" localSheetId="32" hidden="1">Finance!#REF!,Finance!#REF!</definedName>
    <definedName name="Z_06305A94_F293_4CE3_8C98_A35E374FB03C_.wvu.Cols" localSheetId="41" hidden="1">'Fixed Charge'!#REF!,'Fixed Charge'!#REF!</definedName>
    <definedName name="Z_06305A94_F293_4CE3_8C98_A35E374FB03C_.wvu.Cols" localSheetId="6" hidden="1">'Front Office'!#REF!,'Front Office'!#REF!</definedName>
    <definedName name="Z_06305A94_F293_4CE3_8C98_A35E374FB03C_.wvu.Cols" localSheetId="25" hidden="1">'Guest Laundry'!#REF!,'Guest Laundry'!#REF!</definedName>
    <definedName name="Z_06305A94_F293_4CE3_8C98_A35E374FB03C_.wvu.Cols" localSheetId="23" hidden="1">'Health Club'!#REF!,'Health Club'!#REF!</definedName>
    <definedName name="Z_06305A94_F293_4CE3_8C98_A35E374FB03C_.wvu.Cols" localSheetId="33" hidden="1">HR!#REF!,HR!#REF!</definedName>
    <definedName name="Z_06305A94_F293_4CE3_8C98_A35E374FB03C_.wvu.Cols" localSheetId="7" hidden="1">HSKP!#REF!,HSKP!#REF!</definedName>
    <definedName name="Z_06305A94_F293_4CE3_8C98_A35E374FB03C_.wvu.Cols" localSheetId="35" hidden="1">IT!#REF!,IT!#REF!</definedName>
    <definedName name="Z_06305A94_F293_4CE3_8C98_A35E374FB03C_.wvu.Cols" localSheetId="39" hidden="1">Laundry!#REF!,Laundry!#REF!</definedName>
    <definedName name="Z_06305A94_F293_4CE3_8C98_A35E374FB03C_.wvu.Cols" localSheetId="16" hidden="1">'Lobby Lounge'!#REF!,'Lobby Lounge'!#REF!</definedName>
    <definedName name="Z_06305A94_F293_4CE3_8C98_A35E374FB03C_.wvu.Cols" localSheetId="18" hidden="1">'Main Kitchen'!#REF!,'Main Kitchen'!#REF!</definedName>
    <definedName name="Z_06305A94_F293_4CE3_8C98_A35E374FB03C_.wvu.Cols" localSheetId="20" hidden="1">Minibar!#REF!,Minibar!#REF!</definedName>
    <definedName name="Z_06305A94_F293_4CE3_8C98_A35E374FB03C_.wvu.Cols" localSheetId="14" hidden="1">'MP Cafe'!#REF!,'MP Cafe'!#REF!</definedName>
    <definedName name="Z_06305A94_F293_4CE3_8C98_A35E374FB03C_.wvu.Cols" localSheetId="22" hidden="1">OOD!#REF!,OOD!#REF!</definedName>
    <definedName name="Z_06305A94_F293_4CE3_8C98_A35E374FB03C_.wvu.Cols" localSheetId="15" hidden="1">'Pingju Zhuhai'!#REF!,'Pingju Zhuhai'!#REF!</definedName>
    <definedName name="Z_06305A94_F293_4CE3_8C98_A35E374FB03C_.wvu.Cols" localSheetId="36" hidden="1">'R&amp;M'!#REF!,'R&amp;M'!#REF!</definedName>
    <definedName name="Z_06305A94_F293_4CE3_8C98_A35E374FB03C_.wvu.Cols" localSheetId="8" hidden="1">Reservation!#REF!,Reservation!#REF!</definedName>
    <definedName name="Z_06305A94_F293_4CE3_8C98_A35E374FB03C_.wvu.Cols" localSheetId="19" hidden="1">'Room Service'!#REF!,'Room Service'!#REF!</definedName>
    <definedName name="Z_06305A94_F293_4CE3_8C98_A35E374FB03C_.wvu.Cols" localSheetId="9" hidden="1">'ROOMS Admin'!#REF!,'ROOMS Admin'!#REF!</definedName>
    <definedName name="Z_06305A94_F293_4CE3_8C98_A35E374FB03C_.wvu.Cols" localSheetId="5" hidden="1">'Rooms Summary'!#REF!,'Rooms Summary'!#REF!</definedName>
    <definedName name="Z_06305A94_F293_4CE3_8C98_A35E374FB03C_.wvu.Cols" localSheetId="13" hidden="1">'Royal Court'!#REF!,'Royal Court'!#REF!</definedName>
    <definedName name="Z_06305A94_F293_4CE3_8C98_A35E374FB03C_.wvu.Cols" localSheetId="38" hidden="1">'S&amp;M'!#REF!,'S&amp;M'!#REF!</definedName>
    <definedName name="Z_06305A94_F293_4CE3_8C98_A35E374FB03C_.wvu.Cols" localSheetId="34" hidden="1">Security!#REF!,Security!#REF!</definedName>
    <definedName name="Z_06305A94_F293_4CE3_8C98_A35E374FB03C_.wvu.Cols" localSheetId="40" hidden="1">'Staff Canteen'!#REF!,'Staff Canteen'!#REF!</definedName>
    <definedName name="Z_06305A94_F293_4CE3_8C98_A35E374FB03C_.wvu.Cols" localSheetId="21" hidden="1">STW!#REF!,STW!#REF!</definedName>
    <definedName name="Z_06305A94_F293_4CE3_8C98_A35E374FB03C_.wvu.Cols" localSheetId="24" hidden="1">Telephone!#REF!,Telephone!#REF!</definedName>
    <definedName name="Z_06305A94_F293_4CE3_8C98_A35E374FB03C_.wvu.Cols" localSheetId="29" hidden="1">Transportation!#REF!,Transportation!#REF!</definedName>
    <definedName name="Z_06305A94_F293_4CE3_8C98_A35E374FB03C_.wvu.Cols" localSheetId="37" hidden="1">Utilities!#REF!,Utilities!#REF!</definedName>
    <definedName name="Z_06305A94_F293_4CE3_8C98_A35E374FB03C_.wvu.FilterData" localSheetId="30" hidden="1">'A&amp;G'!#REF!</definedName>
    <definedName name="Z_06305A94_F293_4CE3_8C98_A35E374FB03C_.wvu.FilterData" localSheetId="28" hidden="1">Apartment!#REF!</definedName>
    <definedName name="Z_06305A94_F293_4CE3_8C98_A35E374FB03C_.wvu.FilterData" localSheetId="17" hidden="1">Banquet!#REF!</definedName>
    <definedName name="Z_06305A94_F293_4CE3_8C98_A35E374FB03C_.wvu.FilterData" localSheetId="26" hidden="1">BC!#REF!</definedName>
    <definedName name="Z_06305A94_F293_4CE3_8C98_A35E374FB03C_.wvu.FilterData" localSheetId="27" hidden="1">'DYT Galleria'!#REF!</definedName>
    <definedName name="Z_06305A94_F293_4CE3_8C98_A35E374FB03C_.wvu.FilterData" localSheetId="31" hidden="1">EO!#REF!</definedName>
    <definedName name="Z_06305A94_F293_4CE3_8C98_A35E374FB03C_.wvu.FilterData" localSheetId="11" hidden="1">'F&amp;B Admin'!#REF!</definedName>
    <definedName name="Z_06305A94_F293_4CE3_8C98_A35E374FB03C_.wvu.FilterData" localSheetId="10" hidden="1">'F&amp;B Summary'!#REF!</definedName>
    <definedName name="Z_06305A94_F293_4CE3_8C98_A35E374FB03C_.wvu.FilterData" localSheetId="12" hidden="1">'Fangfei Lounge'!#REF!</definedName>
    <definedName name="Z_06305A94_F293_4CE3_8C98_A35E374FB03C_.wvu.FilterData" localSheetId="32" hidden="1">Finance!#REF!</definedName>
    <definedName name="Z_06305A94_F293_4CE3_8C98_A35E374FB03C_.wvu.FilterData" localSheetId="41" hidden="1">'Fixed Charge'!#REF!</definedName>
    <definedName name="Z_06305A94_F293_4CE3_8C98_A35E374FB03C_.wvu.FilterData" localSheetId="6" hidden="1">'Front Office'!#REF!</definedName>
    <definedName name="Z_06305A94_F293_4CE3_8C98_A35E374FB03C_.wvu.FilterData" localSheetId="25" hidden="1">'Guest Laundry'!#REF!</definedName>
    <definedName name="Z_06305A94_F293_4CE3_8C98_A35E374FB03C_.wvu.FilterData" localSheetId="23" hidden="1">'Health Club'!#REF!</definedName>
    <definedName name="Z_06305A94_F293_4CE3_8C98_A35E374FB03C_.wvu.FilterData" localSheetId="33" hidden="1">HR!#REF!</definedName>
    <definedName name="Z_06305A94_F293_4CE3_8C98_A35E374FB03C_.wvu.FilterData" localSheetId="7" hidden="1">HSKP!#REF!</definedName>
    <definedName name="Z_06305A94_F293_4CE3_8C98_A35E374FB03C_.wvu.FilterData" localSheetId="35" hidden="1">IT!#REF!</definedName>
    <definedName name="Z_06305A94_F293_4CE3_8C98_A35E374FB03C_.wvu.FilterData" localSheetId="39" hidden="1">Laundry!#REF!</definedName>
    <definedName name="Z_06305A94_F293_4CE3_8C98_A35E374FB03C_.wvu.FilterData" localSheetId="16" hidden="1">'Lobby Lounge'!#REF!</definedName>
    <definedName name="Z_06305A94_F293_4CE3_8C98_A35E374FB03C_.wvu.FilterData" localSheetId="18" hidden="1">'Main Kitchen'!#REF!</definedName>
    <definedName name="Z_06305A94_F293_4CE3_8C98_A35E374FB03C_.wvu.FilterData" localSheetId="20" hidden="1">Minibar!#REF!</definedName>
    <definedName name="Z_06305A94_F293_4CE3_8C98_A35E374FB03C_.wvu.FilterData" localSheetId="14" hidden="1">'MP Cafe'!#REF!</definedName>
    <definedName name="Z_06305A94_F293_4CE3_8C98_A35E374FB03C_.wvu.FilterData" localSheetId="22" hidden="1">OOD!#REF!</definedName>
    <definedName name="Z_06305A94_F293_4CE3_8C98_A35E374FB03C_.wvu.FilterData" localSheetId="15" hidden="1">'Pingju Zhuhai'!#REF!</definedName>
    <definedName name="Z_06305A94_F293_4CE3_8C98_A35E374FB03C_.wvu.FilterData" localSheetId="36" hidden="1">'R&amp;M'!#REF!</definedName>
    <definedName name="Z_06305A94_F293_4CE3_8C98_A35E374FB03C_.wvu.FilterData" localSheetId="8" hidden="1">Reservation!#REF!</definedName>
    <definedName name="Z_06305A94_F293_4CE3_8C98_A35E374FB03C_.wvu.FilterData" localSheetId="19" hidden="1">'Room Service'!#REF!</definedName>
    <definedName name="Z_06305A94_F293_4CE3_8C98_A35E374FB03C_.wvu.FilterData" localSheetId="9" hidden="1">'ROOMS Admin'!#REF!</definedName>
    <definedName name="Z_06305A94_F293_4CE3_8C98_A35E374FB03C_.wvu.FilterData" localSheetId="5" hidden="1">'Rooms Summary'!#REF!</definedName>
    <definedName name="Z_06305A94_F293_4CE3_8C98_A35E374FB03C_.wvu.FilterData" localSheetId="13" hidden="1">'Royal Court'!#REF!</definedName>
    <definedName name="Z_06305A94_F293_4CE3_8C98_A35E374FB03C_.wvu.FilterData" localSheetId="38" hidden="1">'S&amp;M'!#REF!</definedName>
    <definedName name="Z_06305A94_F293_4CE3_8C98_A35E374FB03C_.wvu.FilterData" localSheetId="34" hidden="1">Security!#REF!</definedName>
    <definedName name="Z_06305A94_F293_4CE3_8C98_A35E374FB03C_.wvu.FilterData" localSheetId="40" hidden="1">'Staff Canteen'!#REF!</definedName>
    <definedName name="Z_06305A94_F293_4CE3_8C98_A35E374FB03C_.wvu.FilterData" localSheetId="21" hidden="1">STW!#REF!</definedName>
    <definedName name="Z_06305A94_F293_4CE3_8C98_A35E374FB03C_.wvu.FilterData" localSheetId="24" hidden="1">Telephone!#REF!</definedName>
    <definedName name="Z_06305A94_F293_4CE3_8C98_A35E374FB03C_.wvu.FilterData" localSheetId="29" hidden="1">Transportation!#REF!</definedName>
    <definedName name="Z_06305A94_F293_4CE3_8C98_A35E374FB03C_.wvu.FilterData" localSheetId="37" hidden="1">Utilities!#REF!</definedName>
    <definedName name="Z_06305A94_F293_4CE3_8C98_A35E374FB03C_.wvu.PrintTitles" localSheetId="30" hidden="1">'A&amp;G'!$1:$10</definedName>
    <definedName name="Z_06305A94_F293_4CE3_8C98_A35E374FB03C_.wvu.PrintTitles" localSheetId="28" hidden="1">Apartment!$1:$10</definedName>
    <definedName name="Z_06305A94_F293_4CE3_8C98_A35E374FB03C_.wvu.PrintTitles" localSheetId="17" hidden="1">Banquet!$1:$10</definedName>
    <definedName name="Z_06305A94_F293_4CE3_8C98_A35E374FB03C_.wvu.PrintTitles" localSheetId="26" hidden="1">BC!$1:$10</definedName>
    <definedName name="Z_06305A94_F293_4CE3_8C98_A35E374FB03C_.wvu.PrintTitles" localSheetId="27" hidden="1">'DYT Galleria'!$1:$10</definedName>
    <definedName name="Z_06305A94_F293_4CE3_8C98_A35E374FB03C_.wvu.PrintTitles" localSheetId="31" hidden="1">EO!$1:$10</definedName>
    <definedName name="Z_06305A94_F293_4CE3_8C98_A35E374FB03C_.wvu.PrintTitles" localSheetId="11" hidden="1">'F&amp;B Admin'!$1:$10</definedName>
    <definedName name="Z_06305A94_F293_4CE3_8C98_A35E374FB03C_.wvu.PrintTitles" localSheetId="10" hidden="1">'F&amp;B Summary'!$1:$10</definedName>
    <definedName name="Z_06305A94_F293_4CE3_8C98_A35E374FB03C_.wvu.PrintTitles" localSheetId="12" hidden="1">'Fangfei Lounge'!$1:$10</definedName>
    <definedName name="Z_06305A94_F293_4CE3_8C98_A35E374FB03C_.wvu.PrintTitles" localSheetId="32" hidden="1">Finance!$1:$10</definedName>
    <definedName name="Z_06305A94_F293_4CE3_8C98_A35E374FB03C_.wvu.PrintTitles" localSheetId="41" hidden="1">'Fixed Charge'!$1:$10</definedName>
    <definedName name="Z_06305A94_F293_4CE3_8C98_A35E374FB03C_.wvu.PrintTitles" localSheetId="6" hidden="1">'Front Office'!$1:$10</definedName>
    <definedName name="Z_06305A94_F293_4CE3_8C98_A35E374FB03C_.wvu.PrintTitles" localSheetId="25" hidden="1">'Guest Laundry'!$1:$10</definedName>
    <definedName name="Z_06305A94_F293_4CE3_8C98_A35E374FB03C_.wvu.PrintTitles" localSheetId="23" hidden="1">'Health Club'!$1:$10</definedName>
    <definedName name="Z_06305A94_F293_4CE3_8C98_A35E374FB03C_.wvu.PrintTitles" localSheetId="33" hidden="1">HR!$1:$10</definedName>
    <definedName name="Z_06305A94_F293_4CE3_8C98_A35E374FB03C_.wvu.PrintTitles" localSheetId="7" hidden="1">HSKP!$1:$10</definedName>
    <definedName name="Z_06305A94_F293_4CE3_8C98_A35E374FB03C_.wvu.PrintTitles" localSheetId="35" hidden="1">IT!$1:$10</definedName>
    <definedName name="Z_06305A94_F293_4CE3_8C98_A35E374FB03C_.wvu.PrintTitles" localSheetId="39" hidden="1">Laundry!$1:$10</definedName>
    <definedName name="Z_06305A94_F293_4CE3_8C98_A35E374FB03C_.wvu.PrintTitles" localSheetId="16" hidden="1">'Lobby Lounge'!$1:$10</definedName>
    <definedName name="Z_06305A94_F293_4CE3_8C98_A35E374FB03C_.wvu.PrintTitles" localSheetId="18" hidden="1">'Main Kitchen'!$1:$10</definedName>
    <definedName name="Z_06305A94_F293_4CE3_8C98_A35E374FB03C_.wvu.PrintTitles" localSheetId="20" hidden="1">Minibar!$1:$10</definedName>
    <definedName name="Z_06305A94_F293_4CE3_8C98_A35E374FB03C_.wvu.PrintTitles" localSheetId="14" hidden="1">'MP Cafe'!$1:$10</definedName>
    <definedName name="Z_06305A94_F293_4CE3_8C98_A35E374FB03C_.wvu.PrintTitles" localSheetId="22" hidden="1">OOD!$1:$10</definedName>
    <definedName name="Z_06305A94_F293_4CE3_8C98_A35E374FB03C_.wvu.PrintTitles" localSheetId="15" hidden="1">'Pingju Zhuhai'!$1:$10</definedName>
    <definedName name="Z_06305A94_F293_4CE3_8C98_A35E374FB03C_.wvu.PrintTitles" localSheetId="36" hidden="1">'R&amp;M'!$1:$10</definedName>
    <definedName name="Z_06305A94_F293_4CE3_8C98_A35E374FB03C_.wvu.PrintTitles" localSheetId="8" hidden="1">Reservation!$1:$10</definedName>
    <definedName name="Z_06305A94_F293_4CE3_8C98_A35E374FB03C_.wvu.PrintTitles" localSheetId="19" hidden="1">'Room Service'!$1:$10</definedName>
    <definedName name="Z_06305A94_F293_4CE3_8C98_A35E374FB03C_.wvu.PrintTitles" localSheetId="9" hidden="1">'ROOMS Admin'!$1:$10</definedName>
    <definedName name="Z_06305A94_F293_4CE3_8C98_A35E374FB03C_.wvu.PrintTitles" localSheetId="5" hidden="1">'Rooms Summary'!$1:$10</definedName>
    <definedName name="Z_06305A94_F293_4CE3_8C98_A35E374FB03C_.wvu.PrintTitles" localSheetId="13" hidden="1">'Royal Court'!$1:$10</definedName>
    <definedName name="Z_06305A94_F293_4CE3_8C98_A35E374FB03C_.wvu.PrintTitles" localSheetId="38" hidden="1">'S&amp;M'!$1:$10</definedName>
    <definedName name="Z_06305A94_F293_4CE3_8C98_A35E374FB03C_.wvu.PrintTitles" localSheetId="34" hidden="1">Security!$1:$10</definedName>
    <definedName name="Z_06305A94_F293_4CE3_8C98_A35E374FB03C_.wvu.PrintTitles" localSheetId="40" hidden="1">'Staff Canteen'!$1:$10</definedName>
    <definedName name="Z_06305A94_F293_4CE3_8C98_A35E374FB03C_.wvu.PrintTitles" localSheetId="21" hidden="1">STW!$1:$10</definedName>
    <definedName name="Z_06305A94_F293_4CE3_8C98_A35E374FB03C_.wvu.PrintTitles" localSheetId="24" hidden="1">Telephone!$1:$10</definedName>
    <definedName name="Z_06305A94_F293_4CE3_8C98_A35E374FB03C_.wvu.PrintTitles" localSheetId="29" hidden="1">Transportation!$1:$10</definedName>
    <definedName name="Z_06305A94_F293_4CE3_8C98_A35E374FB03C_.wvu.PrintTitles" localSheetId="37" hidden="1">Utilities!$1:$10</definedName>
    <definedName name="Z_06305A94_F293_4CE3_8C98_A35E374FB03C_.wvu.Rows" localSheetId="30" hidden="1">'A&amp;G'!#REF!,'A&amp;G'!$1:$2,'A&amp;G'!#REF!,'A&amp;G'!#REF!,'A&amp;G'!$12:$77,'A&amp;G'!#REF!,'A&amp;G'!#REF!,'A&amp;G'!#REF!,'A&amp;G'!#REF!,'A&amp;G'!#REF!,'A&amp;G'!$160:$198,'A&amp;G'!#REF!,'A&amp;G'!#REF!,'A&amp;G'!#REF!,'A&amp;G'!#REF!,'A&amp;G'!#REF!,'A&amp;G'!#REF!,'A&amp;G'!#REF!,'A&amp;G'!#REF!,'A&amp;G'!#REF!,'A&amp;G'!#REF!,'A&amp;G'!#REF!,'A&amp;G'!#REF!,'A&amp;G'!#REF!,'A&amp;G'!#REF!,'A&amp;G'!#REF!,'A&amp;G'!#REF!,'A&amp;G'!#REF!,'A&amp;G'!#REF!,'A&amp;G'!$162:$198</definedName>
    <definedName name="Z_06305A94_F293_4CE3_8C98_A35E374FB03C_.wvu.Rows" localSheetId="28" hidden="1">Apartment!#REF!,Apartment!$1:$2,Apartment!#REF!,Apartment!#REF!,Apartment!$12:$32,Apartment!#REF!,Apartment!#REF!,Apartment!#REF!,Apartment!#REF!,Apartment!#REF!,Apartment!$52:$85,Apartment!#REF!,Apartment!#REF!,Apartment!#REF!,Apartment!#REF!,Apartment!#REF!,Apartment!#REF!,Apartment!#REF!,Apartment!#REF!,Apartment!#REF!,Apartment!#REF!,Apartment!#REF!,Apartment!#REF!,Apartment!#REF!,Apartment!#REF!,Apartment!#REF!,Apartment!#REF!,Apartment!#REF!,Apartment!#REF!,Apartment!$52:$85</definedName>
    <definedName name="Z_06305A94_F293_4CE3_8C98_A35E374FB03C_.wvu.Rows" localSheetId="17" hidden="1">Banquet!#REF!,Banquet!$1:$2,Banquet!#REF!,Banquet!#REF!,Banquet!$12:$107,Banquet!#REF!,Banquet!#REF!,Banquet!#REF!,Banquet!#REF!,Banquet!#REF!,Banquet!$112:$166,Banquet!#REF!,Banquet!#REF!,Banquet!#REF!,Banquet!#REF!,Banquet!#REF!,Banquet!#REF!,Banquet!#REF!,Banquet!#REF!,Banquet!#REF!,Banquet!#REF!,Banquet!#REF!,Banquet!#REF!,Banquet!#REF!,Banquet!#REF!,Banquet!#REF!,Banquet!#REF!,Banquet!#REF!,Banquet!#REF!,Banquet!$113:$166</definedName>
    <definedName name="Z_06305A94_F293_4CE3_8C98_A35E374FB03C_.wvu.Rows" localSheetId="26" hidden="1">BC!#REF!,BC!$1:$2,BC!#REF!,BC!#REF!,BC!$12:$38,BC!#REF!,BC!#REF!,BC!#REF!,BC!#REF!,BC!#REF!,BC!$59:$92,BC!#REF!,BC!#REF!,BC!#REF!,BC!#REF!,BC!#REF!,BC!#REF!,BC!#REF!,BC!#REF!,BC!#REF!,BC!#REF!,BC!#REF!,BC!#REF!,BC!#REF!,BC!#REF!,BC!#REF!,BC!#REF!,BC!#REF!,BC!#REF!,BC!$59:$92</definedName>
    <definedName name="Z_06305A94_F293_4CE3_8C98_A35E374FB03C_.wvu.Rows" localSheetId="27" hidden="1">'DYT Galleria'!#REF!,'DYT Galleria'!$1:$2,'DYT Galleria'!#REF!,'DYT Galleria'!#REF!,'DYT Galleria'!$12:$17,'DYT Galleria'!#REF!,'DYT Galleria'!#REF!,'DYT Galleria'!#REF!,'DYT Galleria'!#REF!,'DYT Galleria'!#REF!,'DYT Galleria'!$37:$70,'DYT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Galleria'!#REF!,'DYT Galleria'!$37:$70</definedName>
    <definedName name="Z_06305A94_F293_4CE3_8C98_A35E374FB03C_.wvu.Rows" localSheetId="31" hidden="1">EO!#REF!,EO!$1:$2,EO!#REF!,EO!#REF!,EO!$12:$77,EO!#REF!,EO!#REF!,EO!#REF!,EO!#REF!,EO!#REF!,EO!$160:$197,EO!#REF!,EO!#REF!,EO!#REF!,EO!#REF!,EO!#REF!,EO!#REF!,EO!#REF!,EO!#REF!,EO!#REF!,EO!#REF!,EO!#REF!,EO!#REF!,EO!#REF!,EO!#REF!,EO!#REF!,EO!#REF!,EO!#REF!,EO!#REF!,EO!$162:$197</definedName>
    <definedName name="Z_06305A94_F293_4CE3_8C98_A35E374FB03C_.wvu.Rows" localSheetId="11" hidden="1">'F&amp;B Admin'!#REF!,'F&amp;B Admin'!$1:$2,'F&amp;B Admin'!#REF!,'F&amp;B Admin'!#REF!,'F&amp;B Admin'!$12:$78,'F&amp;B Admin'!#REF!,'F&amp;B Admin'!#REF!,'F&amp;B Admin'!#REF!,'F&amp;B Admin'!#REF!,'F&amp;B Admin'!#REF!,'F&amp;B Admin'!$85:$123,'F&amp;B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Admin'!#REF!,'F&amp;B Admin'!$88:$123</definedName>
    <definedName name="Z_06305A94_F293_4CE3_8C98_A35E374FB03C_.wvu.Rows" localSheetId="10" hidden="1">'F&amp;B Summary'!#REF!,'F&amp;B Summary'!$1:$2,'F&amp;B Summary'!#REF!,'F&amp;B Summary'!#REF!,'F&amp;B Summary'!$12:$129,'F&amp;B Summary'!#REF!,'F&amp;B Summary'!#REF!,'F&amp;B Summary'!#REF!,'F&amp;B Summary'!#REF!,'F&amp;B Summary'!#REF!,'F&amp;B Summary'!$133:$205,'F&amp;B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Summary'!#REF!,'F&amp;B Summary'!$134:$205</definedName>
    <definedName name="Z_06305A94_F293_4CE3_8C98_A35E374FB03C_.wvu.Rows" localSheetId="12" hidden="1">'Fangfei Lounge'!#REF!,'Fangfei Lounge'!$1:$2,'Fangfei Lounge'!#REF!,'Fangfei Lounge'!#REF!,'Fangfei Lounge'!$12:$106,'Fangfei Lounge'!#REF!,'Fangfei Lounge'!#REF!,'Fangfei Lounge'!#REF!,'Fangfei Lounge'!#REF!,'Fangfei Lounge'!#REF!,'Fangfei Lounge'!$111:$165,'Fangfei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Lounge'!#REF!,'Fangfei Lounge'!$112:$165</definedName>
    <definedName name="Z_06305A94_F293_4CE3_8C98_A35E374FB03C_.wvu.Rows" localSheetId="32" hidden="1">Finance!#REF!,Finance!$1:$2,Finance!#REF!,Finance!#REF!,Finance!$12:$77,Finance!#REF!,Finance!#REF!,Finance!#REF!,Finance!#REF!,Finance!#REF!,Finance!$160:$197,Finance!#REF!,Finance!#REF!,Finance!#REF!,Finance!#REF!,Finance!#REF!,Finance!#REF!,Finance!#REF!,Finance!#REF!,Finance!#REF!,Finance!#REF!,Finance!#REF!,Finance!#REF!,Finance!#REF!,Finance!#REF!,Finance!#REF!,Finance!#REF!,Finance!#REF!,Finance!#REF!,Finance!$162:$197</definedName>
    <definedName name="Z_06305A94_F293_4CE3_8C98_A35E374FB03C_.wvu.Rows" localSheetId="41" hidden="1">'Fixed Charge'!#REF!,'Fixed Charge'!$1:$2,'Fixed Charge'!#REF!,'Fixed Charge'!#REF!,'Fixed Charge'!$12:$27,'Fixed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Charge'!#REF!,'Fixed Charge'!#REF!</definedName>
    <definedName name="Z_06305A94_F293_4CE3_8C98_A35E374FB03C_.wvu.Rows" localSheetId="6" hidden="1">'Front Office'!#REF!,'Front Office'!$1:$2,'Front Office'!#REF!,'Front Office'!#REF!,'Front Office'!$11:$80,'Front Office'!#REF!,'Front Office'!#REF!,'Front Office'!#REF!,'Front Office'!#REF!,'Front Office'!#REF!,'Front Office'!$83:$120,'Front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Office'!#REF!,'Front Office'!$83:$120</definedName>
    <definedName name="Z_06305A94_F293_4CE3_8C98_A35E374FB03C_.wvu.Rows" localSheetId="25" hidden="1">'Guest Laundry'!#REF!,'Guest Laundry'!$1:$2,'Guest Laundry'!#REF!,'Guest Laundry'!#REF!,'Guest Laundry'!$12:$26,'Guest Laundry'!#REF!,'Guest Laundry'!#REF!,'Guest Laundry'!#REF!,'Guest Laundry'!#REF!,'Guest Laundry'!#REF!,'Guest Laundry'!$46:$79,'Guest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Laundry'!#REF!,'Guest Laundry'!$46:$79</definedName>
    <definedName name="Z_06305A94_F293_4CE3_8C98_A35E374FB03C_.wvu.Rows" localSheetId="23" hidden="1">'Health Club'!#REF!,'Health Club'!$1:$2,'Health Club'!#REF!,'Health Club'!#REF!,'Health Club'!$12:$45,'Health Club'!#REF!,'Health Club'!#REF!,'Health Club'!#REF!,'Health Club'!#REF!,'Health Club'!#REF!,'Health Club'!$66:$99,'Health Club'!#REF!,'Health Club'!#REF!,'Health Club'!#REF!,'Health Club'!#REF!,'Health Club'!#REF!,'Health Club'!#REF!,'Health Club'!#REF!,'Health Club'!#REF!,'Health Club'!#REF!,'Health Club'!#REF!,'Health Club'!#REF!,'Health Club'!#REF!,'Health Club'!#REF!,'Health Club'!#REF!,'Health Club'!#REF!,'Health Club'!#REF!,'Health Club'!#REF!,'Health Club'!#REF!,'Health Club'!$66:$99</definedName>
    <definedName name="Z_06305A94_F293_4CE3_8C98_A35E374FB03C_.wvu.Rows" localSheetId="33" hidden="1">HR!#REF!,HR!$1:$2,HR!#REF!,HR!#REF!,HR!$12:$77,HR!#REF!,HR!#REF!,HR!#REF!,HR!#REF!,HR!#REF!,HR!$160:$198,HR!#REF!,HR!#REF!,HR!#REF!,HR!#REF!,HR!#REF!,HR!#REF!,HR!#REF!,HR!#REF!,HR!#REF!,HR!#REF!,HR!#REF!,HR!#REF!,HR!#REF!,HR!#REF!,HR!#REF!,HR!#REF!,HR!#REF!,HR!#REF!,HR!$162:$198</definedName>
    <definedName name="Z_06305A94_F293_4CE3_8C98_A35E374FB03C_.wvu.Rows" localSheetId="7" hidden="1">HSKP!#REF!,HSKP!$1:$2,HSKP!#REF!,HSKP!#REF!,HSKP!$11:$80,HSKP!#REF!,HSKP!#REF!,HSKP!#REF!,HSKP!#REF!,HSKP!#REF!,HSKP!$83:$120,HSKP!#REF!,HSKP!#REF!,HSKP!#REF!,HSKP!#REF!,HSKP!#REF!,HSKP!#REF!,HSKP!#REF!,HSKP!#REF!,HSKP!#REF!,HSKP!#REF!,HSKP!#REF!,HSKP!#REF!,HSKP!#REF!,HSKP!#REF!,HSKP!#REF!,HSKP!#REF!,HSKP!#REF!,HSKP!#REF!,HSKP!$83:$120</definedName>
    <definedName name="Z_06305A94_F293_4CE3_8C98_A35E374FB03C_.wvu.Rows" localSheetId="35" hidden="1">IT!#REF!,IT!$1:$2,IT!#REF!,IT!#REF!,IT!$12:$77,IT!#REF!,IT!#REF!,IT!#REF!,IT!#REF!,IT!#REF!,IT!$160:$197,IT!#REF!,IT!#REF!,IT!#REF!,IT!#REF!,IT!#REF!,IT!#REF!,IT!#REF!,IT!#REF!,IT!#REF!,IT!#REF!,IT!#REF!,IT!#REF!,IT!#REF!,IT!#REF!,IT!#REF!,IT!#REF!,IT!#REF!,IT!#REF!,IT!$162:$197</definedName>
    <definedName name="Z_06305A94_F293_4CE3_8C98_A35E374FB03C_.wvu.Rows" localSheetId="39" hidden="1">Laundry!#REF!,Laundry!$1:$2,Laundry!#REF!,Laundry!#REF!,Laundry!$12:$77,Laundry!#REF!,Laundry!#REF!,Laundry!#REF!,Laundry!#REF!,Laundry!#REF!,Laundry!$159:$195,Laundry!#REF!,Laundry!#REF!,Laundry!#REF!,Laundry!#REF!,Laundry!#REF!,Laundry!#REF!,Laundry!#REF!,Laundry!#REF!,Laundry!#REF!,Laundry!#REF!,Laundry!#REF!,Laundry!#REF!,Laundry!#REF!,Laundry!#REF!,Laundry!#REF!,Laundry!#REF!,Laundry!#REF!,Laundry!#REF!,Laundry!$159:$195</definedName>
    <definedName name="Z_06305A94_F293_4CE3_8C98_A35E374FB03C_.wvu.Rows" localSheetId="16" hidden="1">'Lobby Lounge'!#REF!,'Lobby Lounge'!$1:$2,'Lobby Lounge'!#REF!,'Lobby Lounge'!#REF!,'Lobby Lounge'!$12:$106,'Lobby Lounge'!#REF!,'Lobby Lounge'!#REF!,'Lobby Lounge'!#REF!,'Lobby Lounge'!#REF!,'Lobby Lounge'!#REF!,'Lobby Lounge'!$111:$165,'Lobby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Lounge'!#REF!,'Lobby Lounge'!$112:$165</definedName>
    <definedName name="Z_06305A94_F293_4CE3_8C98_A35E374FB03C_.wvu.Rows" localSheetId="18" hidden="1">'Main Kitchen'!#REF!,'Main Kitchen'!$1:$2,'Main Kitchen'!#REF!,'Main Kitchen'!#REF!,'Main Kitchen'!$12:$78,'Main Kitchen'!#REF!,'Main Kitchen'!#REF!,'Main Kitchen'!#REF!,'Main Kitchen'!#REF!,'Main Kitchen'!#REF!,'Main Kitchen'!$85:$125,'Main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Kitchen'!#REF!,'Main Kitchen'!$88:$125</definedName>
    <definedName name="Z_06305A94_F293_4CE3_8C98_A35E374FB03C_.wvu.Rows" localSheetId="20" hidden="1">Minibar!#REF!,Minibar!$1:$2,Minibar!#REF!,Minibar!#REF!,Minibar!$12:$94,Minibar!#REF!,Minibar!#REF!,Minibar!#REF!,Minibar!#REF!,Minibar!#REF!,Minibar!$99:$134,Minibar!#REF!,Minibar!#REF!,Minibar!#REF!,Minibar!#REF!,Minibar!#REF!,Minibar!#REF!,Minibar!#REF!,Minibar!#REF!,Minibar!#REF!,Minibar!#REF!,Minibar!#REF!,Minibar!#REF!,Minibar!#REF!,Minibar!#REF!,Minibar!#REF!,Minibar!#REF!,Minibar!#REF!,Minibar!#REF!,Minibar!$99:$134</definedName>
    <definedName name="Z_06305A94_F293_4CE3_8C98_A35E374FB03C_.wvu.Rows" localSheetId="14" hidden="1">'MP Cafe'!#REF!,'MP Cafe'!$1:$2,'MP Cafe'!#REF!,'MP Cafe'!#REF!,'MP Cafe'!$12:$106,'MP Cafe'!#REF!,'MP Cafe'!#REF!,'MP Cafe'!#REF!,'MP Cafe'!#REF!,'MP Cafe'!#REF!,'MP Cafe'!$111:$165,'MP Cafe'!#REF!,'MP Cafe'!#REF!,'MP Cafe'!#REF!,'MP Cafe'!#REF!,'MP Cafe'!#REF!,'MP Cafe'!#REF!,'MP Cafe'!#REF!,'MP Cafe'!#REF!,'MP Cafe'!#REF!,'MP Cafe'!#REF!,'MP Cafe'!#REF!,'MP Cafe'!#REF!,'MP Cafe'!#REF!,'MP Cafe'!#REF!,'MP Cafe'!#REF!,'MP Cafe'!#REF!,'MP Cafe'!#REF!,'MP Cafe'!#REF!,'MP Cafe'!$112:$165</definedName>
    <definedName name="Z_06305A94_F293_4CE3_8C98_A35E374FB03C_.wvu.Rows" localSheetId="22" hidden="1">OOD!#REF!,OOD!$1:$2,OOD!#REF!,OOD!#REF!,OOD!$12:$45,OOD!#REF!,OOD!#REF!,OOD!#REF!,OOD!#REF!,OOD!#REF!,OOD!$65:$100,OOD!#REF!,OOD!#REF!,OOD!#REF!,OOD!#REF!,OOD!#REF!,OOD!#REF!,OOD!#REF!,OOD!#REF!,OOD!#REF!,OOD!#REF!,OOD!#REF!,OOD!#REF!,OOD!#REF!,OOD!#REF!,OOD!#REF!,OOD!#REF!,OOD!#REF!,OOD!#REF!,OOD!$65:$100</definedName>
    <definedName name="Z_06305A94_F293_4CE3_8C98_A35E374FB03C_.wvu.Rows" localSheetId="15" hidden="1">'Pingju Zhuhai'!#REF!,'Pingju Zhuhai'!$1:$2,'Pingju Zhuhai'!#REF!,'Pingju Zhuhai'!#REF!,'Pingju Zhuhai'!$12:$106,'Pingju Zhuhai'!#REF!,'Pingju Zhuhai'!#REF!,'Pingju Zhuhai'!#REF!,'Pingju Zhuhai'!#REF!,'Pingju Zhuhai'!#REF!,'Pingju Zhuhai'!$111:$165,'Pingju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Zhuhai'!#REF!,'Pingju Zhuhai'!$112:$165</definedName>
    <definedName name="Z_06305A94_F293_4CE3_8C98_A35E374FB03C_.wvu.Rows" localSheetId="36" hidden="1">'R&amp;M'!#REF!,'R&amp;M'!$1:$2,'R&amp;M'!#REF!,'R&amp;M'!#REF!,'R&amp;M'!$12:$77,'R&amp;M'!#REF!,'R&amp;M'!#REF!,'R&amp;M'!#REF!,'R&amp;M'!#REF!,'R&amp;M'!#REF!,'R&amp;M'!$160:$197,'R&amp;M'!#REF!,'R&amp;M'!#REF!,'R&amp;M'!#REF!,'R&amp;M'!#REF!,'R&amp;M'!#REF!,'R&amp;M'!#REF!,'R&amp;M'!#REF!,'R&amp;M'!#REF!,'R&amp;M'!#REF!,'R&amp;M'!#REF!,'R&amp;M'!#REF!,'R&amp;M'!#REF!,'R&amp;M'!#REF!,'R&amp;M'!#REF!,'R&amp;M'!#REF!,'R&amp;M'!#REF!,'R&amp;M'!#REF!,'R&amp;M'!#REF!,'R&amp;M'!$162:$197</definedName>
    <definedName name="Z_06305A94_F293_4CE3_8C98_A35E374FB03C_.wvu.Rows" localSheetId="8" hidden="1">Reservation!#REF!,Reservation!$1:$2,Reservation!#REF!,Reservation!#REF!,Reservation!$11:$80,Reservation!#REF!,Reservation!#REF!,Reservation!#REF!,Reservation!#REF!,Reservation!#REF!,Reservation!$83:$118,Reservation!#REF!,Reservation!#REF!,Reservation!#REF!,Reservation!#REF!,Reservation!#REF!,Reservation!#REF!,Reservation!#REF!,Reservation!#REF!,Reservation!#REF!,Reservation!#REF!,Reservation!#REF!,Reservation!#REF!,Reservation!#REF!,Reservation!#REF!,Reservation!#REF!,Reservation!#REF!,Reservation!#REF!,Reservation!#REF!,Reservation!$83:$118</definedName>
    <definedName name="Z_06305A94_F293_4CE3_8C98_A35E374FB03C_.wvu.Rows" localSheetId="19" hidden="1">'Room Service'!#REF!,'Room Service'!$1:$2,'Room Service'!#REF!,'Room Service'!#REF!,'Room Service'!$12:$106,'Room Service'!#REF!,'Room Service'!#REF!,'Room Service'!#REF!,'Room Service'!#REF!,'Room Service'!#REF!,'Room Service'!$111:$165,'Room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Service'!#REF!,'Room Service'!$112:$165</definedName>
    <definedName name="Z_06305A94_F293_4CE3_8C98_A35E374FB03C_.wvu.Rows" localSheetId="9" hidden="1">'ROOMS Admin'!#REF!,'ROOMS Admin'!$1:$2,'ROOMS Admin'!#REF!,'ROOMS Admin'!#REF!,'ROOMS Admin'!$11:$80,'ROOMS Admin'!#REF!,'ROOMS Admin'!#REF!,'ROOMS Admin'!#REF!,'ROOMS Admin'!#REF!,'ROOMS Admin'!#REF!,'ROOMS Admin'!$83:$118,'ROOMS Admin'!#REF!,'ROOMS Admin'!#REF!,'ROOMS Admin'!#REF!,'ROOMS Admin'!#REF!,'ROOMS Admin'!#REF!,'ROOMS Admin'!#REF!,'ROOMS Admin'!#REF!,'ROOMS Admin'!#REF!,'ROOMS Admin'!#REF!,'ROOMS Admin'!#REF!,'ROOMS Admin'!#REF!,'ROOMS Admin'!#REF!,'ROOMS Admin'!#REF!,'ROOMS Admin'!#REF!,'ROOMS Admin'!#REF!,'ROOMS Admin'!#REF!,'ROOMS Admin'!#REF!,'ROOMS Admin'!#REF!,'ROOMS Admin'!$83:$118</definedName>
    <definedName name="Z_06305A94_F293_4CE3_8C98_A35E374FB03C_.wvu.Rows" localSheetId="5" hidden="1">'Rooms Summary'!#REF!,'Rooms Summary'!$1:$2,'Rooms Summary'!#REF!,'Rooms Summary'!#REF!,'Rooms Summary'!$12:$102,'Rooms Summary'!#REF!,'Rooms Summary'!#REF!,'Rooms Summary'!#REF!,'Rooms Summary'!#REF!,'Rooms Summary'!#REF!,'Rooms Summary'!$120:$159,'Rooms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Summary'!#REF!,'Rooms Summary'!$120:$159</definedName>
    <definedName name="Z_06305A94_F293_4CE3_8C98_A35E374FB03C_.wvu.Rows" localSheetId="13" hidden="1">'Royal Court'!#REF!,'Royal Court'!$1:$2,'Royal Court'!#REF!,'Royal Court'!#REF!,'Royal Court'!$12:$106,'Royal Court'!#REF!,'Royal Court'!#REF!,'Royal Court'!#REF!,'Royal Court'!#REF!,'Royal Court'!#REF!,'Royal Court'!$111:$165,'Royal Court'!#REF!,'Royal Court'!#REF!,'Royal Court'!#REF!,'Royal Court'!#REF!,'Royal Court'!#REF!,'Royal Court'!#REF!,'Royal Court'!#REF!,'Royal Court'!#REF!,'Royal Court'!#REF!,'Royal Court'!#REF!,'Royal Court'!#REF!,'Royal Court'!#REF!,'Royal Court'!#REF!,'Royal Court'!#REF!,'Royal Court'!#REF!,'Royal Court'!#REF!,'Royal Court'!#REF!,'Royal Court'!#REF!,'Royal Court'!$112:$165</definedName>
    <definedName name="Z_06305A94_F293_4CE3_8C98_A35E374FB03C_.wvu.Rows" localSheetId="38" hidden="1">'S&amp;M'!#REF!,'S&amp;M'!$1:$2,'S&amp;M'!#REF!,'S&amp;M'!#REF!,'S&amp;M'!$12:$77,'S&amp;M'!#REF!,'S&amp;M'!#REF!,'S&amp;M'!#REF!,'S&amp;M'!#REF!,'S&amp;M'!#REF!,'S&amp;M'!$159:$196,'S&amp;M'!#REF!,'S&amp;M'!#REF!,'S&amp;M'!#REF!,'S&amp;M'!#REF!,'S&amp;M'!#REF!,'S&amp;M'!#REF!,'S&amp;M'!#REF!,'S&amp;M'!#REF!,'S&amp;M'!#REF!,'S&amp;M'!#REF!,'S&amp;M'!#REF!,'S&amp;M'!#REF!,'S&amp;M'!#REF!,'S&amp;M'!#REF!,'S&amp;M'!#REF!,'S&amp;M'!#REF!,'S&amp;M'!#REF!,'S&amp;M'!#REF!,'S&amp;M'!$160:$196</definedName>
    <definedName name="Z_06305A94_F293_4CE3_8C98_A35E374FB03C_.wvu.Rows" localSheetId="34" hidden="1">Security!#REF!,Security!$1:$2,Security!#REF!,Security!#REF!,Security!$12:$77,Security!#REF!,Security!#REF!,Security!#REF!,Security!#REF!,Security!#REF!,Security!$160:$197,Security!#REF!,Security!#REF!,Security!#REF!,Security!#REF!,Security!#REF!,Security!#REF!,Security!#REF!,Security!#REF!,Security!#REF!,Security!#REF!,Security!#REF!,Security!#REF!,Security!#REF!,Security!#REF!,Security!#REF!,Security!#REF!,Security!#REF!,Security!#REF!,Security!$162:$197</definedName>
    <definedName name="Z_06305A94_F293_4CE3_8C98_A35E374FB03C_.wvu.Rows" localSheetId="40" hidden="1">'Staff Canteen'!#REF!,'Staff Canteen'!$1:$2,'Staff Canteen'!#REF!,'Staff Canteen'!#REF!,'Staff Canteen'!$12:$77,'Staff Canteen'!#REF!,'Staff Canteen'!#REF!,'Staff Canteen'!#REF!,'Staff Canteen'!#REF!,'Staff Canteen'!#REF!,'Staff Canteen'!$159:$193,'Staff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Canteen'!#REF!,'Staff Canteen'!$159:$193</definedName>
    <definedName name="Z_06305A94_F293_4CE3_8C98_A35E374FB03C_.wvu.Rows" localSheetId="21" hidden="1">STW!#REF!,STW!$1:$2,STW!#REF!,STW!#REF!,STW!$12:$78,STW!#REF!,STW!#REF!,STW!#REF!,STW!#REF!,STW!#REF!,STW!$85:$124,STW!#REF!,STW!#REF!,STW!#REF!,STW!#REF!,STW!#REF!,STW!#REF!,STW!#REF!,STW!#REF!,STW!#REF!,STW!#REF!,STW!#REF!,STW!#REF!,STW!#REF!,STW!#REF!,STW!#REF!,STW!#REF!,STW!#REF!,STW!#REF!,STW!$88:$124</definedName>
    <definedName name="Z_06305A94_F293_4CE3_8C98_A35E374FB03C_.wvu.Rows" localSheetId="24" hidden="1">Telephone!#REF!,Telephone!$1:$2,Telephone!#REF!,Telephone!#REF!,Telephone!$12:$24,Telephone!#REF!,Telephone!#REF!,Telephone!#REF!,Telephone!#REF!,Telephone!#REF!,Telephone!$44:$77,Telephone!#REF!,Telephone!#REF!,Telephone!#REF!,Telephone!#REF!,Telephone!#REF!,Telephone!#REF!,Telephone!#REF!,Telephone!#REF!,Telephone!#REF!,Telephone!#REF!,Telephone!#REF!,Telephone!#REF!,Telephone!#REF!,Telephone!#REF!,Telephone!#REF!,Telephone!#REF!,Telephone!#REF!,Telephone!#REF!,Telephone!$44:$77</definedName>
    <definedName name="Z_06305A94_F293_4CE3_8C98_A35E374FB03C_.wvu.Rows" localSheetId="29" hidden="1">Transportation!#REF!,Transportation!$1:$2,Transportation!#REF!,Transportation!#REF!,Transportation!$12:$20,Transportation!#REF!,Transportation!#REF!,Transportation!#REF!,Transportation!#REF!,Transportation!#REF!,Transportation!$40:$73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#REF!,Transportation!$40:$73</definedName>
    <definedName name="Z_06305A94_F293_4CE3_8C98_A35E374FB03C_.wvu.Rows" localSheetId="37" hidden="1">Utilities!#REF!,Utilities!$1:$2,Utilities!#REF!,Utilities!#REF!,Utilities!$12:$12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,Utilities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0" i="139" l="1"/>
  <c r="G90" i="139"/>
  <c r="H90" i="139"/>
  <c r="I90" i="139"/>
  <c r="J90" i="139"/>
  <c r="K90" i="139"/>
  <c r="L90" i="139"/>
  <c r="M90" i="139"/>
  <c r="N90" i="139"/>
  <c r="O90" i="139"/>
  <c r="P90" i="139"/>
  <c r="E90" i="139"/>
  <c r="G96" i="141"/>
  <c r="E71" i="108" l="1"/>
  <c r="P91" i="127" l="1"/>
  <c r="P192" i="93"/>
  <c r="P119" i="149"/>
  <c r="Q131" i="125"/>
  <c r="Q132" i="125"/>
  <c r="Q133" i="125"/>
  <c r="AA159" i="154" l="1"/>
  <c r="R96" i="125"/>
  <c r="Q95" i="125"/>
  <c r="R95" i="125" s="1"/>
  <c r="Q96" i="125"/>
  <c r="E77" i="18" l="1"/>
  <c r="E74" i="18" s="1"/>
  <c r="Q76" i="18"/>
  <c r="AA166" i="154"/>
  <c r="Z165" i="154"/>
  <c r="Q132" i="123" l="1"/>
  <c r="Q175" i="140"/>
  <c r="Q133" i="122"/>
  <c r="Q132" i="122"/>
  <c r="Q131" i="122"/>
  <c r="Q87" i="127"/>
  <c r="Q95" i="122"/>
  <c r="F18" i="130"/>
  <c r="G18" i="130"/>
  <c r="H18" i="130"/>
  <c r="I18" i="130"/>
  <c r="J18" i="130"/>
  <c r="K18" i="130"/>
  <c r="L18" i="130"/>
  <c r="M18" i="130"/>
  <c r="N18" i="130"/>
  <c r="O18" i="130"/>
  <c r="P18" i="130"/>
  <c r="E18" i="130"/>
  <c r="F19" i="127"/>
  <c r="G19" i="127"/>
  <c r="H19" i="127"/>
  <c r="I19" i="127"/>
  <c r="J19" i="127"/>
  <c r="K19" i="127"/>
  <c r="L19" i="127"/>
  <c r="M19" i="127"/>
  <c r="N19" i="127"/>
  <c r="O19" i="127"/>
  <c r="P19" i="127"/>
  <c r="E19" i="127"/>
  <c r="F32" i="130" l="1"/>
  <c r="G32" i="130"/>
  <c r="H32" i="130"/>
  <c r="I32" i="130"/>
  <c r="J32" i="130"/>
  <c r="K32" i="130"/>
  <c r="L32" i="130"/>
  <c r="M32" i="130"/>
  <c r="N32" i="130"/>
  <c r="O32" i="130"/>
  <c r="P32" i="130"/>
  <c r="E32" i="130"/>
  <c r="H29" i="130" l="1"/>
  <c r="I29" i="130"/>
  <c r="J29" i="130"/>
  <c r="K29" i="130"/>
  <c r="L29" i="130"/>
  <c r="M29" i="130"/>
  <c r="N29" i="130"/>
  <c r="O29" i="130"/>
  <c r="P29" i="130"/>
  <c r="G29" i="130"/>
  <c r="F29" i="130"/>
  <c r="E29" i="130"/>
  <c r="Q13" i="127" l="1"/>
  <c r="E76" i="122" l="1"/>
  <c r="P67" i="122"/>
  <c r="O67" i="122"/>
  <c r="N67" i="122"/>
  <c r="M67" i="122"/>
  <c r="L67" i="122"/>
  <c r="K67" i="122"/>
  <c r="J67" i="122"/>
  <c r="I67" i="122"/>
  <c r="H67" i="122"/>
  <c r="G67" i="122"/>
  <c r="F67" i="122"/>
  <c r="E67" i="122"/>
  <c r="F107" i="132" l="1"/>
  <c r="G107" i="132"/>
  <c r="H107" i="132"/>
  <c r="I107" i="132"/>
  <c r="J107" i="132"/>
  <c r="K107" i="132"/>
  <c r="L107" i="132"/>
  <c r="M107" i="132"/>
  <c r="N107" i="132"/>
  <c r="O107" i="132"/>
  <c r="P107" i="132"/>
  <c r="E107" i="132"/>
  <c r="I228" i="153" l="1"/>
  <c r="I229" i="153"/>
  <c r="L231" i="153"/>
  <c r="I233" i="153"/>
  <c r="K233" i="153"/>
  <c r="I235" i="153"/>
  <c r="K235" i="153"/>
  <c r="L237" i="153"/>
  <c r="N237" i="153"/>
  <c r="O239" i="153"/>
  <c r="E240" i="153"/>
  <c r="M240" i="153"/>
  <c r="L244" i="153"/>
  <c r="E245" i="153"/>
  <c r="I247" i="153"/>
  <c r="I248" i="153"/>
  <c r="O248" i="153"/>
  <c r="J227" i="153"/>
  <c r="F225" i="153"/>
  <c r="F246" i="153" s="1"/>
  <c r="G225" i="153"/>
  <c r="G230" i="153" s="1"/>
  <c r="H225" i="153"/>
  <c r="H242" i="153" s="1"/>
  <c r="I225" i="153"/>
  <c r="I246" i="153" s="1"/>
  <c r="J225" i="153"/>
  <c r="J230" i="153" s="1"/>
  <c r="K225" i="153"/>
  <c r="K230" i="153" s="1"/>
  <c r="L225" i="153"/>
  <c r="L242" i="153" s="1"/>
  <c r="M225" i="153"/>
  <c r="M230" i="153" s="1"/>
  <c r="N225" i="153"/>
  <c r="N233" i="153" s="1"/>
  <c r="O225" i="153"/>
  <c r="O237" i="153" s="1"/>
  <c r="P225" i="153"/>
  <c r="P245" i="153" s="1"/>
  <c r="E225" i="153"/>
  <c r="E247" i="153" s="1"/>
  <c r="H243" i="153" l="1"/>
  <c r="H232" i="153"/>
  <c r="P229" i="153"/>
  <c r="I227" i="153"/>
  <c r="H248" i="153"/>
  <c r="M244" i="153"/>
  <c r="F242" i="153"/>
  <c r="P239" i="153"/>
  <c r="M237" i="153"/>
  <c r="J235" i="153"/>
  <c r="J233" i="153"/>
  <c r="M231" i="153"/>
  <c r="O229" i="153"/>
  <c r="H228" i="153"/>
  <c r="O227" i="153"/>
  <c r="N248" i="153"/>
  <c r="H247" i="153"/>
  <c r="K244" i="153"/>
  <c r="L240" i="153"/>
  <c r="M239" i="153"/>
  <c r="K237" i="153"/>
  <c r="H235" i="153"/>
  <c r="H233" i="153"/>
  <c r="J231" i="153"/>
  <c r="H229" i="153"/>
  <c r="N227" i="153"/>
  <c r="M248" i="153"/>
  <c r="K245" i="153"/>
  <c r="J244" i="153"/>
  <c r="K240" i="153"/>
  <c r="L239" i="153"/>
  <c r="J237" i="153"/>
  <c r="M234" i="153"/>
  <c r="L232" i="153"/>
  <c r="I231" i="153"/>
  <c r="M228" i="153"/>
  <c r="M227" i="153"/>
  <c r="L248" i="153"/>
  <c r="J245" i="153"/>
  <c r="I244" i="153"/>
  <c r="J240" i="153"/>
  <c r="J239" i="153"/>
  <c r="I237" i="153"/>
  <c r="L234" i="153"/>
  <c r="K232" i="153"/>
  <c r="H231" i="153"/>
  <c r="L228" i="153"/>
  <c r="H246" i="153"/>
  <c r="L227" i="153"/>
  <c r="K248" i="153"/>
  <c r="I245" i="153"/>
  <c r="H244" i="153"/>
  <c r="I240" i="153"/>
  <c r="I239" i="153"/>
  <c r="H237" i="153"/>
  <c r="M233" i="153"/>
  <c r="J232" i="153"/>
  <c r="I230" i="153"/>
  <c r="K228" i="153"/>
  <c r="K227" i="153"/>
  <c r="J248" i="153"/>
  <c r="H245" i="153"/>
  <c r="M243" i="153"/>
  <c r="H240" i="153"/>
  <c r="H239" i="153"/>
  <c r="H236" i="153"/>
  <c r="L233" i="153"/>
  <c r="I232" i="153"/>
  <c r="H230" i="153"/>
  <c r="J228" i="153"/>
  <c r="F245" i="153"/>
  <c r="F233" i="153"/>
  <c r="F237" i="153"/>
  <c r="F235" i="153"/>
  <c r="F241" i="153"/>
  <c r="F230" i="153"/>
  <c r="F229" i="153"/>
  <c r="F240" i="153"/>
  <c r="F236" i="153"/>
  <c r="N239" i="153"/>
  <c r="F228" i="153"/>
  <c r="K239" i="153"/>
  <c r="K231" i="153"/>
  <c r="E243" i="153"/>
  <c r="M242" i="153"/>
  <c r="K234" i="153"/>
  <c r="F239" i="153"/>
  <c r="F231" i="153"/>
  <c r="K242" i="153"/>
  <c r="F238" i="153"/>
  <c r="E234" i="153"/>
  <c r="F247" i="153"/>
  <c r="J242" i="153"/>
  <c r="E238" i="153"/>
  <c r="P233" i="153"/>
  <c r="L230" i="153"/>
  <c r="F227" i="153"/>
  <c r="F244" i="153"/>
  <c r="F232" i="153"/>
  <c r="N243" i="153"/>
  <c r="E235" i="153"/>
  <c r="F243" i="153"/>
  <c r="F248" i="153"/>
  <c r="F234" i="153"/>
  <c r="I242" i="153"/>
  <c r="P237" i="153"/>
  <c r="O233" i="153"/>
  <c r="G247" i="153"/>
  <c r="G235" i="153"/>
  <c r="G232" i="153"/>
  <c r="G242" i="153"/>
  <c r="G237" i="153"/>
  <c r="G228" i="153"/>
  <c r="G231" i="153"/>
  <c r="G238" i="153"/>
  <c r="G243" i="153"/>
  <c r="G229" i="153"/>
  <c r="G240" i="153"/>
  <c r="G245" i="153"/>
  <c r="E248" i="153"/>
  <c r="E246" i="153"/>
  <c r="E227" i="153"/>
  <c r="E229" i="153"/>
  <c r="E231" i="153"/>
  <c r="E233" i="153"/>
  <c r="E239" i="153"/>
  <c r="E232" i="153"/>
  <c r="E242" i="153"/>
  <c r="E237" i="153"/>
  <c r="E228" i="153"/>
  <c r="P227" i="153"/>
  <c r="P228" i="153"/>
  <c r="P230" i="153"/>
  <c r="P232" i="153"/>
  <c r="P234" i="153"/>
  <c r="P236" i="153"/>
  <c r="P238" i="153"/>
  <c r="P240" i="153"/>
  <c r="P242" i="153"/>
  <c r="P244" i="153"/>
  <c r="P247" i="153"/>
  <c r="P248" i="153"/>
  <c r="P231" i="153"/>
  <c r="P241" i="153"/>
  <c r="O228" i="153"/>
  <c r="O230" i="153"/>
  <c r="O232" i="153"/>
  <c r="O234" i="153"/>
  <c r="O236" i="153"/>
  <c r="O238" i="153"/>
  <c r="O240" i="153"/>
  <c r="O242" i="153"/>
  <c r="O244" i="153"/>
  <c r="O247" i="153"/>
  <c r="O231" i="153"/>
  <c r="O245" i="153"/>
  <c r="O241" i="153"/>
  <c r="G236" i="153"/>
  <c r="N228" i="153"/>
  <c r="N230" i="153"/>
  <c r="N232" i="153"/>
  <c r="N234" i="153"/>
  <c r="N236" i="153"/>
  <c r="N238" i="153"/>
  <c r="N240" i="153"/>
  <c r="N242" i="153"/>
  <c r="N244" i="153"/>
  <c r="N247" i="153"/>
  <c r="N231" i="153"/>
  <c r="N245" i="153"/>
  <c r="N246" i="153"/>
  <c r="N229" i="153"/>
  <c r="N241" i="153"/>
  <c r="M238" i="153"/>
  <c r="M245" i="153"/>
  <c r="M246" i="153"/>
  <c r="M229" i="153"/>
  <c r="M236" i="153"/>
  <c r="G248" i="153"/>
  <c r="M241" i="153"/>
  <c r="G239" i="153"/>
  <c r="E236" i="153"/>
  <c r="L238" i="153"/>
  <c r="L245" i="153"/>
  <c r="L246" i="153"/>
  <c r="L229" i="153"/>
  <c r="L236" i="153"/>
  <c r="L243" i="153"/>
  <c r="G244" i="153"/>
  <c r="L241" i="153"/>
  <c r="P235" i="153"/>
  <c r="K246" i="153"/>
  <c r="K229" i="153"/>
  <c r="K236" i="153"/>
  <c r="K243" i="153"/>
  <c r="M247" i="153"/>
  <c r="K241" i="153"/>
  <c r="K238" i="153"/>
  <c r="O235" i="153"/>
  <c r="J246" i="153"/>
  <c r="J229" i="153"/>
  <c r="J236" i="153"/>
  <c r="J243" i="153"/>
  <c r="J234" i="153"/>
  <c r="L247" i="153"/>
  <c r="E244" i="153"/>
  <c r="J241" i="153"/>
  <c r="J238" i="153"/>
  <c r="N235" i="153"/>
  <c r="G233" i="153"/>
  <c r="I236" i="153"/>
  <c r="I243" i="153"/>
  <c r="I234" i="153"/>
  <c r="I241" i="153"/>
  <c r="K247" i="153"/>
  <c r="P243" i="153"/>
  <c r="I238" i="153"/>
  <c r="M235" i="153"/>
  <c r="P246" i="153"/>
  <c r="H234" i="153"/>
  <c r="H241" i="153"/>
  <c r="H227" i="153"/>
  <c r="J247" i="153"/>
  <c r="O243" i="153"/>
  <c r="E241" i="153"/>
  <c r="H238" i="153"/>
  <c r="L235" i="153"/>
  <c r="M232" i="153"/>
  <c r="E230" i="153"/>
  <c r="O246" i="153"/>
  <c r="G246" i="153"/>
  <c r="G234" i="153"/>
  <c r="G241" i="153"/>
  <c r="G227" i="153"/>
  <c r="Q225" i="153"/>
  <c r="Q79" i="18" l="1"/>
  <c r="F77" i="18"/>
  <c r="F74" i="18" s="1"/>
  <c r="G77" i="18"/>
  <c r="G74" i="18" s="1"/>
  <c r="H77" i="18"/>
  <c r="H74" i="18" s="1"/>
  <c r="I77" i="18"/>
  <c r="I74" i="18" s="1"/>
  <c r="J77" i="18"/>
  <c r="J74" i="18" s="1"/>
  <c r="K77" i="18"/>
  <c r="K74" i="18" s="1"/>
  <c r="L77" i="18"/>
  <c r="L74" i="18" s="1"/>
  <c r="M77" i="18"/>
  <c r="M74" i="18" s="1"/>
  <c r="N77" i="18"/>
  <c r="N74" i="18" s="1"/>
  <c r="O77" i="18"/>
  <c r="O74" i="18" s="1"/>
  <c r="P77" i="18"/>
  <c r="P74" i="18" s="1"/>
  <c r="Q123" i="149" l="1"/>
  <c r="F49" i="130" l="1"/>
  <c r="G49" i="130"/>
  <c r="H49" i="130"/>
  <c r="I49" i="130"/>
  <c r="J49" i="130"/>
  <c r="K49" i="130"/>
  <c r="L49" i="130"/>
  <c r="M49" i="130"/>
  <c r="N49" i="130"/>
  <c r="O49" i="130"/>
  <c r="P49" i="130"/>
  <c r="E49" i="130"/>
  <c r="Q78" i="18"/>
  <c r="Q77" i="18" l="1"/>
  <c r="Q74" i="18" s="1"/>
  <c r="O134" i="123" l="1"/>
  <c r="K143" i="123"/>
  <c r="I162" i="123"/>
  <c r="M134" i="125"/>
  <c r="O143" i="123"/>
  <c r="P143" i="125"/>
  <c r="O153" i="123"/>
  <c r="J143" i="123"/>
  <c r="M143" i="125"/>
  <c r="G143" i="123"/>
  <c r="M162" i="125"/>
  <c r="G162" i="123"/>
  <c r="I143" i="123"/>
  <c r="G134" i="123"/>
  <c r="O162" i="123"/>
  <c r="E67" i="123"/>
  <c r="F153" i="123"/>
  <c r="G153" i="123"/>
  <c r="F143" i="123"/>
  <c r="F162" i="123"/>
  <c r="P144" i="121"/>
  <c r="F134" i="123"/>
  <c r="P134" i="123"/>
  <c r="E43" i="153"/>
  <c r="F43" i="153"/>
  <c r="G43" i="153"/>
  <c r="H43" i="153"/>
  <c r="I43" i="153"/>
  <c r="J43" i="153"/>
  <c r="K43" i="153"/>
  <c r="L43" i="153"/>
  <c r="M43" i="153"/>
  <c r="N43" i="153"/>
  <c r="O43" i="153"/>
  <c r="P43" i="153"/>
  <c r="P163" i="121"/>
  <c r="H143" i="125"/>
  <c r="M134" i="123"/>
  <c r="K67" i="123"/>
  <c r="J67" i="123"/>
  <c r="N134" i="125"/>
  <c r="N162" i="125"/>
  <c r="N143" i="125"/>
  <c r="J134" i="123"/>
  <c r="M67" i="123"/>
  <c r="L67" i="123"/>
  <c r="H134" i="125"/>
  <c r="G134" i="125"/>
  <c r="G162" i="125"/>
  <c r="G143" i="125"/>
  <c r="I134" i="123"/>
  <c r="P134" i="125"/>
  <c r="O143" i="125"/>
  <c r="O134" i="125"/>
  <c r="F162" i="125"/>
  <c r="F143" i="125"/>
  <c r="F153" i="125"/>
  <c r="F134" i="125"/>
  <c r="I67" i="123"/>
  <c r="L143" i="123"/>
  <c r="P162" i="123"/>
  <c r="H162" i="123"/>
  <c r="P153" i="123"/>
  <c r="H153" i="123"/>
  <c r="P143" i="123"/>
  <c r="H143" i="123"/>
  <c r="H134" i="123"/>
  <c r="P111" i="147"/>
  <c r="M92" i="147"/>
  <c r="J121" i="147"/>
  <c r="O111" i="147"/>
  <c r="K101" i="147"/>
  <c r="F111" i="147"/>
  <c r="J101" i="147"/>
  <c r="P121" i="147"/>
  <c r="I101" i="147"/>
  <c r="G121" i="147"/>
  <c r="L111" i="147"/>
  <c r="P101" i="147"/>
  <c r="I92" i="147"/>
  <c r="N121" i="147"/>
  <c r="F121" i="147"/>
  <c r="K111" i="147"/>
  <c r="O101" i="147"/>
  <c r="G101" i="147"/>
  <c r="P92" i="147"/>
  <c r="H92" i="147"/>
  <c r="K121" i="147"/>
  <c r="H111" i="147"/>
  <c r="L101" i="147"/>
  <c r="G111" i="147"/>
  <c r="L92" i="147"/>
  <c r="N111" i="147"/>
  <c r="K92" i="147"/>
  <c r="M111" i="147"/>
  <c r="O121" i="147"/>
  <c r="H101" i="147"/>
  <c r="M121" i="147"/>
  <c r="J111" i="147"/>
  <c r="N101" i="147"/>
  <c r="F101" i="147"/>
  <c r="O92" i="147"/>
  <c r="G92" i="147"/>
  <c r="I121" i="147"/>
  <c r="H121" i="147"/>
  <c r="J92" i="147"/>
  <c r="L121" i="147"/>
  <c r="I111" i="147"/>
  <c r="M101" i="147"/>
  <c r="N92" i="147"/>
  <c r="F92" i="147"/>
  <c r="M134" i="126"/>
  <c r="P162" i="126"/>
  <c r="M153" i="126"/>
  <c r="N143" i="126"/>
  <c r="L134" i="126"/>
  <c r="G162" i="126"/>
  <c r="M143" i="126"/>
  <c r="F162" i="126"/>
  <c r="L143" i="126"/>
  <c r="I134" i="126"/>
  <c r="L162" i="126"/>
  <c r="I153" i="126"/>
  <c r="J143" i="126"/>
  <c r="P134" i="126"/>
  <c r="H134" i="126"/>
  <c r="F153" i="126"/>
  <c r="O143" i="126"/>
  <c r="L153" i="126"/>
  <c r="K134" i="126"/>
  <c r="N162" i="126"/>
  <c r="J134" i="126"/>
  <c r="M162" i="126"/>
  <c r="J153" i="126"/>
  <c r="K162" i="126"/>
  <c r="P153" i="126"/>
  <c r="H153" i="126"/>
  <c r="I143" i="126"/>
  <c r="O134" i="126"/>
  <c r="G134" i="126"/>
  <c r="I162" i="126"/>
  <c r="N153" i="126"/>
  <c r="G143" i="126"/>
  <c r="H162" i="126"/>
  <c r="F143" i="126"/>
  <c r="O162" i="126"/>
  <c r="K153" i="126"/>
  <c r="K143" i="126"/>
  <c r="J162" i="126"/>
  <c r="O153" i="126"/>
  <c r="G153" i="126"/>
  <c r="P143" i="126"/>
  <c r="H143" i="126"/>
  <c r="N134" i="126"/>
  <c r="F134" i="126"/>
  <c r="H153" i="122"/>
  <c r="G153" i="122"/>
  <c r="F153" i="122"/>
  <c r="G143" i="122"/>
  <c r="P162" i="122"/>
  <c r="M153" i="122"/>
  <c r="F143" i="122"/>
  <c r="G162" i="122"/>
  <c r="L153" i="122"/>
  <c r="I134" i="122"/>
  <c r="N162" i="122"/>
  <c r="F162" i="122"/>
  <c r="K153" i="122"/>
  <c r="L143" i="122"/>
  <c r="P134" i="122"/>
  <c r="H134" i="122"/>
  <c r="K162" i="122"/>
  <c r="P153" i="122"/>
  <c r="M134" i="122"/>
  <c r="J162" i="122"/>
  <c r="O153" i="122"/>
  <c r="P143" i="122"/>
  <c r="O143" i="122"/>
  <c r="H162" i="122"/>
  <c r="N143" i="122"/>
  <c r="J134" i="122"/>
  <c r="M143" i="122"/>
  <c r="M162" i="122"/>
  <c r="J153" i="122"/>
  <c r="K143" i="122"/>
  <c r="O134" i="122"/>
  <c r="G134" i="122"/>
  <c r="I143" i="122"/>
  <c r="H143" i="122"/>
  <c r="L134" i="122"/>
  <c r="I162" i="122"/>
  <c r="N153" i="122"/>
  <c r="K134" i="122"/>
  <c r="O162" i="122"/>
  <c r="L162" i="122"/>
  <c r="I153" i="122"/>
  <c r="J143" i="122"/>
  <c r="N134" i="122"/>
  <c r="F134" i="122"/>
  <c r="F120" i="149"/>
  <c r="M92" i="149"/>
  <c r="M120" i="149"/>
  <c r="J110" i="149"/>
  <c r="K100" i="149"/>
  <c r="L92" i="149"/>
  <c r="L120" i="149"/>
  <c r="I110" i="149"/>
  <c r="P110" i="149"/>
  <c r="J92" i="149"/>
  <c r="O110" i="149"/>
  <c r="P100" i="149"/>
  <c r="I120" i="149"/>
  <c r="F110" i="149"/>
  <c r="O100" i="149"/>
  <c r="H92" i="149"/>
  <c r="P120" i="149"/>
  <c r="H120" i="149"/>
  <c r="M110" i="149"/>
  <c r="N100" i="149"/>
  <c r="F100" i="149"/>
  <c r="O92" i="149"/>
  <c r="G92" i="149"/>
  <c r="N120" i="149"/>
  <c r="K110" i="149"/>
  <c r="L100" i="149"/>
  <c r="J100" i="149"/>
  <c r="K92" i="149"/>
  <c r="K120" i="149"/>
  <c r="H110" i="149"/>
  <c r="I100" i="149"/>
  <c r="J120" i="149"/>
  <c r="G110" i="149"/>
  <c r="H100" i="149"/>
  <c r="I92" i="149"/>
  <c r="N110" i="149"/>
  <c r="G100" i="149"/>
  <c r="P92" i="149"/>
  <c r="O120" i="149"/>
  <c r="G120" i="149"/>
  <c r="L110" i="149"/>
  <c r="M100" i="149"/>
  <c r="N92" i="149"/>
  <c r="F92" i="149"/>
  <c r="K190" i="154"/>
  <c r="H181" i="154"/>
  <c r="G181" i="154"/>
  <c r="K171" i="154"/>
  <c r="L164" i="154"/>
  <c r="I190" i="154"/>
  <c r="N181" i="154"/>
  <c r="O190" i="154"/>
  <c r="I164" i="154"/>
  <c r="N190" i="154"/>
  <c r="F190" i="154"/>
  <c r="K181" i="154"/>
  <c r="O171" i="154"/>
  <c r="G171" i="154"/>
  <c r="P164" i="154"/>
  <c r="H164" i="154"/>
  <c r="P181" i="154"/>
  <c r="L171" i="154"/>
  <c r="M164" i="154"/>
  <c r="J190" i="154"/>
  <c r="O181" i="154"/>
  <c r="K164" i="154"/>
  <c r="H190" i="154"/>
  <c r="M181" i="154"/>
  <c r="I171" i="154"/>
  <c r="M190" i="154"/>
  <c r="J181" i="154"/>
  <c r="N171" i="154"/>
  <c r="F171" i="154"/>
  <c r="O164" i="154"/>
  <c r="G164" i="154"/>
  <c r="F181" i="154"/>
  <c r="J171" i="154"/>
  <c r="P190" i="154"/>
  <c r="J164" i="154"/>
  <c r="G190" i="154"/>
  <c r="L181" i="154"/>
  <c r="P171" i="154"/>
  <c r="H171" i="154"/>
  <c r="L190" i="154"/>
  <c r="I181" i="154"/>
  <c r="M171" i="154"/>
  <c r="N164" i="154"/>
  <c r="F164" i="154"/>
  <c r="I192" i="153"/>
  <c r="F183" i="153"/>
  <c r="M164" i="153"/>
  <c r="H192" i="153"/>
  <c r="O192" i="153"/>
  <c r="L183" i="153"/>
  <c r="J164" i="153"/>
  <c r="M192" i="153"/>
  <c r="J183" i="153"/>
  <c r="K173" i="153"/>
  <c r="I164" i="153"/>
  <c r="N173" i="153"/>
  <c r="L164" i="153"/>
  <c r="G192" i="153"/>
  <c r="K164" i="153"/>
  <c r="F192" i="153"/>
  <c r="L173" i="153"/>
  <c r="L192" i="153"/>
  <c r="I183" i="153"/>
  <c r="P164" i="153"/>
  <c r="G164" i="153"/>
  <c r="N183" i="153"/>
  <c r="O173" i="153"/>
  <c r="G173" i="153"/>
  <c r="P192" i="153"/>
  <c r="M183" i="153"/>
  <c r="F173" i="153"/>
  <c r="M173" i="153"/>
  <c r="N192" i="153"/>
  <c r="K183" i="153"/>
  <c r="J173" i="153"/>
  <c r="H164" i="153"/>
  <c r="K192" i="153"/>
  <c r="P183" i="153"/>
  <c r="H183" i="153"/>
  <c r="I173" i="153"/>
  <c r="O164" i="153"/>
  <c r="J192" i="153"/>
  <c r="O183" i="153"/>
  <c r="G183" i="153"/>
  <c r="P173" i="153"/>
  <c r="H173" i="153"/>
  <c r="N164" i="153"/>
  <c r="F164" i="153"/>
  <c r="O165" i="93"/>
  <c r="K193" i="93"/>
  <c r="H184" i="93"/>
  <c r="M165" i="93"/>
  <c r="J193" i="93"/>
  <c r="O184" i="93"/>
  <c r="L165" i="93"/>
  <c r="I193" i="93"/>
  <c r="N184" i="93"/>
  <c r="F184" i="93"/>
  <c r="J174" i="93"/>
  <c r="K165" i="93"/>
  <c r="J184" i="93"/>
  <c r="F174" i="93"/>
  <c r="G165" i="93"/>
  <c r="L193" i="93"/>
  <c r="P184" i="93"/>
  <c r="L174" i="93"/>
  <c r="G184" i="93"/>
  <c r="K174" i="93"/>
  <c r="P193" i="93"/>
  <c r="H193" i="93"/>
  <c r="M184" i="93"/>
  <c r="I174" i="93"/>
  <c r="J165" i="93"/>
  <c r="G193" i="93"/>
  <c r="L184" i="93"/>
  <c r="P174" i="93"/>
  <c r="H174" i="93"/>
  <c r="I165" i="93"/>
  <c r="O193" i="93"/>
  <c r="N193" i="93"/>
  <c r="F193" i="93"/>
  <c r="K184" i="93"/>
  <c r="O174" i="93"/>
  <c r="G174" i="93"/>
  <c r="P165" i="93"/>
  <c r="H165" i="93"/>
  <c r="M193" i="93"/>
  <c r="N174" i="93"/>
  <c r="I184" i="93"/>
  <c r="M174" i="93"/>
  <c r="N165" i="93"/>
  <c r="F165" i="93"/>
  <c r="K194" i="90"/>
  <c r="P185" i="90"/>
  <c r="M166" i="90"/>
  <c r="J194" i="90"/>
  <c r="G185" i="90"/>
  <c r="K175" i="90"/>
  <c r="L166" i="90"/>
  <c r="I194" i="90"/>
  <c r="F185" i="90"/>
  <c r="H194" i="90"/>
  <c r="M185" i="90"/>
  <c r="I175" i="90"/>
  <c r="J166" i="90"/>
  <c r="O194" i="90"/>
  <c r="G194" i="90"/>
  <c r="L185" i="90"/>
  <c r="P175" i="90"/>
  <c r="H175" i="90"/>
  <c r="I166" i="90"/>
  <c r="N194" i="90"/>
  <c r="F194" i="90"/>
  <c r="K185" i="90"/>
  <c r="O175" i="90"/>
  <c r="G175" i="90"/>
  <c r="P166" i="90"/>
  <c r="H166" i="90"/>
  <c r="H185" i="90"/>
  <c r="L175" i="90"/>
  <c r="O185" i="90"/>
  <c r="N185" i="90"/>
  <c r="J175" i="90"/>
  <c r="K166" i="90"/>
  <c r="P194" i="90"/>
  <c r="M194" i="90"/>
  <c r="J185" i="90"/>
  <c r="N175" i="90"/>
  <c r="F175" i="90"/>
  <c r="O166" i="90"/>
  <c r="G166" i="90"/>
  <c r="L194" i="90"/>
  <c r="I185" i="90"/>
  <c r="M175" i="90"/>
  <c r="N166" i="90"/>
  <c r="F166" i="90"/>
  <c r="F166" i="139"/>
  <c r="F175" i="139"/>
  <c r="F194" i="139"/>
  <c r="F185" i="139"/>
  <c r="F67" i="123"/>
  <c r="G67" i="123"/>
  <c r="H67" i="123"/>
  <c r="N67" i="123"/>
  <c r="O67" i="123"/>
  <c r="P67" i="123"/>
  <c r="O144" i="121" l="1"/>
  <c r="K162" i="125"/>
  <c r="I143" i="125"/>
  <c r="H144" i="121"/>
  <c r="K144" i="121"/>
  <c r="J162" i="123"/>
  <c r="N163" i="121"/>
  <c r="I144" i="121"/>
  <c r="N153" i="123"/>
  <c r="H163" i="121"/>
  <c r="I134" i="125"/>
  <c r="G153" i="125"/>
  <c r="G163" i="125" s="1"/>
  <c r="O163" i="123"/>
  <c r="O153" i="125"/>
  <c r="M154" i="121"/>
  <c r="F144" i="121"/>
  <c r="G144" i="121"/>
  <c r="L162" i="125"/>
  <c r="P153" i="125"/>
  <c r="K143" i="125"/>
  <c r="N134" i="123"/>
  <c r="M143" i="123"/>
  <c r="O162" i="125"/>
  <c r="L163" i="121"/>
  <c r="J144" i="121"/>
  <c r="K134" i="125"/>
  <c r="N143" i="123"/>
  <c r="H163" i="123"/>
  <c r="I162" i="125"/>
  <c r="M144" i="121"/>
  <c r="J134" i="125"/>
  <c r="L143" i="125"/>
  <c r="H154" i="121"/>
  <c r="I154" i="121"/>
  <c r="N153" i="125"/>
  <c r="N163" i="125" s="1"/>
  <c r="G163" i="123"/>
  <c r="I153" i="123"/>
  <c r="I163" i="123" s="1"/>
  <c r="P154" i="121"/>
  <c r="F163" i="123"/>
  <c r="K153" i="123"/>
  <c r="M153" i="125"/>
  <c r="M163" i="125" s="1"/>
  <c r="F163" i="125"/>
  <c r="K134" i="123"/>
  <c r="P163" i="123"/>
  <c r="J153" i="123"/>
  <c r="F163" i="121"/>
  <c r="L134" i="123"/>
  <c r="M153" i="123"/>
  <c r="N154" i="121"/>
  <c r="H162" i="125"/>
  <c r="G163" i="121"/>
  <c r="K154" i="121"/>
  <c r="L153" i="123"/>
  <c r="K153" i="125"/>
  <c r="J154" i="121"/>
  <c r="O154" i="121"/>
  <c r="L154" i="121"/>
  <c r="F154" i="121"/>
  <c r="J143" i="125"/>
  <c r="K162" i="123"/>
  <c r="M162" i="123"/>
  <c r="J153" i="125"/>
  <c r="L134" i="125"/>
  <c r="L162" i="123"/>
  <c r="L153" i="125"/>
  <c r="P162" i="125"/>
  <c r="N162" i="123"/>
  <c r="L144" i="121"/>
  <c r="M163" i="121"/>
  <c r="G154" i="121"/>
  <c r="J162" i="125"/>
  <c r="J163" i="121"/>
  <c r="I163" i="121"/>
  <c r="O163" i="121"/>
  <c r="K163" i="121"/>
  <c r="I153" i="125"/>
  <c r="N144" i="121"/>
  <c r="H153" i="125"/>
  <c r="K195" i="90"/>
  <c r="K193" i="153"/>
  <c r="H163" i="126"/>
  <c r="P121" i="149"/>
  <c r="P163" i="126"/>
  <c r="H121" i="149"/>
  <c r="L163" i="126"/>
  <c r="G163" i="122"/>
  <c r="H193" i="153"/>
  <c r="P193" i="153"/>
  <c r="P163" i="122"/>
  <c r="H122" i="147"/>
  <c r="J122" i="147"/>
  <c r="F122" i="147"/>
  <c r="O122" i="147"/>
  <c r="K122" i="147"/>
  <c r="P122" i="147"/>
  <c r="M122" i="147"/>
  <c r="I122" i="147"/>
  <c r="G122" i="147"/>
  <c r="N122" i="147"/>
  <c r="L122" i="147"/>
  <c r="O163" i="126"/>
  <c r="G163" i="126"/>
  <c r="J163" i="126"/>
  <c r="F163" i="126"/>
  <c r="N163" i="126"/>
  <c r="K163" i="126"/>
  <c r="I163" i="126"/>
  <c r="M163" i="126"/>
  <c r="K163" i="122"/>
  <c r="O163" i="122"/>
  <c r="L163" i="122"/>
  <c r="I163" i="122"/>
  <c r="H163" i="122"/>
  <c r="F163" i="122"/>
  <c r="N163" i="122"/>
  <c r="M163" i="122"/>
  <c r="J163" i="122"/>
  <c r="H191" i="154"/>
  <c r="G194" i="93"/>
  <c r="G191" i="154"/>
  <c r="K191" i="154"/>
  <c r="P194" i="93"/>
  <c r="L121" i="149"/>
  <c r="F121" i="149"/>
  <c r="K121" i="149"/>
  <c r="I121" i="149"/>
  <c r="J121" i="149"/>
  <c r="G121" i="149"/>
  <c r="O121" i="149"/>
  <c r="N121" i="149"/>
  <c r="M121" i="149"/>
  <c r="P191" i="154"/>
  <c r="O191" i="154"/>
  <c r="J191" i="154"/>
  <c r="F191" i="154"/>
  <c r="M191" i="154"/>
  <c r="L191" i="154"/>
  <c r="N191" i="154"/>
  <c r="I191" i="154"/>
  <c r="J193" i="153"/>
  <c r="G193" i="153"/>
  <c r="F193" i="153"/>
  <c r="N193" i="153"/>
  <c r="I193" i="153"/>
  <c r="O193" i="153"/>
  <c r="L193" i="153"/>
  <c r="M193" i="153"/>
  <c r="K194" i="93"/>
  <c r="H194" i="93"/>
  <c r="F194" i="93"/>
  <c r="I194" i="93"/>
  <c r="M194" i="93"/>
  <c r="L194" i="93"/>
  <c r="N194" i="93"/>
  <c r="J194" i="93"/>
  <c r="O194" i="93"/>
  <c r="J195" i="90"/>
  <c r="F195" i="90"/>
  <c r="G195" i="90"/>
  <c r="L195" i="90"/>
  <c r="O195" i="90"/>
  <c r="N195" i="90"/>
  <c r="I195" i="90"/>
  <c r="M195" i="90"/>
  <c r="H195" i="90"/>
  <c r="P195" i="90"/>
  <c r="F195" i="139"/>
  <c r="M163" i="123" l="1"/>
  <c r="J163" i="123"/>
  <c r="O163" i="125"/>
  <c r="N163" i="123"/>
  <c r="I163" i="125"/>
  <c r="K163" i="125"/>
  <c r="P163" i="125"/>
  <c r="H163" i="125"/>
  <c r="K163" i="123"/>
  <c r="L163" i="125"/>
  <c r="J163" i="125"/>
  <c r="L163" i="123"/>
  <c r="H47" i="91"/>
  <c r="P42" i="91"/>
  <c r="P50" i="91" s="1"/>
  <c r="O42" i="91"/>
  <c r="O50" i="91" s="1"/>
  <c r="N42" i="91"/>
  <c r="N50" i="91" s="1"/>
  <c r="M42" i="91"/>
  <c r="M50" i="91" s="1"/>
  <c r="L42" i="91"/>
  <c r="L50" i="91" s="1"/>
  <c r="K42" i="91"/>
  <c r="K50" i="91" s="1"/>
  <c r="J42" i="91"/>
  <c r="J50" i="91" s="1"/>
  <c r="I42" i="91"/>
  <c r="I50" i="91" s="1"/>
  <c r="H42" i="91"/>
  <c r="H50" i="91" s="1"/>
  <c r="G42" i="91"/>
  <c r="G50" i="91" s="1"/>
  <c r="F42" i="91"/>
  <c r="F50" i="91" s="1"/>
  <c r="E42" i="91"/>
  <c r="E50" i="91" s="1"/>
  <c r="P41" i="91"/>
  <c r="P49" i="91" s="1"/>
  <c r="O41" i="91"/>
  <c r="O49" i="91" s="1"/>
  <c r="N41" i="91"/>
  <c r="N49" i="91" s="1"/>
  <c r="M41" i="91"/>
  <c r="M49" i="91" s="1"/>
  <c r="L41" i="91"/>
  <c r="L49" i="91" s="1"/>
  <c r="K41" i="91"/>
  <c r="K49" i="91" s="1"/>
  <c r="J41" i="91"/>
  <c r="J49" i="91" s="1"/>
  <c r="I41" i="91"/>
  <c r="I49" i="91" s="1"/>
  <c r="H41" i="91"/>
  <c r="H49" i="91" s="1"/>
  <c r="G41" i="91"/>
  <c r="G49" i="91" s="1"/>
  <c r="F41" i="91"/>
  <c r="F49" i="91" s="1"/>
  <c r="E41" i="91"/>
  <c r="E49" i="91" s="1"/>
  <c r="P39" i="91"/>
  <c r="O39" i="91"/>
  <c r="N39" i="91"/>
  <c r="M39" i="91"/>
  <c r="L39" i="91"/>
  <c r="K39" i="91"/>
  <c r="J39" i="91"/>
  <c r="I39" i="91"/>
  <c r="H39" i="91"/>
  <c r="G39" i="91"/>
  <c r="F39" i="91"/>
  <c r="E39" i="91"/>
  <c r="P38" i="91"/>
  <c r="P47" i="91" s="1"/>
  <c r="O38" i="91"/>
  <c r="O47" i="91" s="1"/>
  <c r="N38" i="91"/>
  <c r="N47" i="91" s="1"/>
  <c r="M38" i="91"/>
  <c r="M47" i="91" s="1"/>
  <c r="L38" i="91"/>
  <c r="L47" i="91" s="1"/>
  <c r="K38" i="91"/>
  <c r="K47" i="91" s="1"/>
  <c r="J38" i="91"/>
  <c r="J47" i="91" s="1"/>
  <c r="I38" i="91"/>
  <c r="I47" i="91" s="1"/>
  <c r="H38" i="91"/>
  <c r="G38" i="91"/>
  <c r="G47" i="91" s="1"/>
  <c r="F38" i="91"/>
  <c r="F47" i="91" s="1"/>
  <c r="E38" i="91"/>
  <c r="E47" i="91" s="1"/>
  <c r="U26" i="91"/>
  <c r="P25" i="91"/>
  <c r="O25" i="91"/>
  <c r="N25" i="91"/>
  <c r="M25" i="91"/>
  <c r="L25" i="91"/>
  <c r="K25" i="91"/>
  <c r="J25" i="91"/>
  <c r="I25" i="91"/>
  <c r="H25" i="91"/>
  <c r="G25" i="91"/>
  <c r="F25" i="91"/>
  <c r="E25" i="91"/>
  <c r="P24" i="91"/>
  <c r="O24" i="91"/>
  <c r="N24" i="91"/>
  <c r="M24" i="91"/>
  <c r="L24" i="91"/>
  <c r="K24" i="91"/>
  <c r="J24" i="91"/>
  <c r="I24" i="91"/>
  <c r="H24" i="91"/>
  <c r="G24" i="91"/>
  <c r="F24" i="91"/>
  <c r="E24" i="91"/>
  <c r="Q23" i="91"/>
  <c r="U23" i="91" s="1"/>
  <c r="M22" i="91"/>
  <c r="L22" i="91"/>
  <c r="K22" i="91"/>
  <c r="J22" i="91"/>
  <c r="I22" i="91"/>
  <c r="H22" i="91"/>
  <c r="G22" i="91"/>
  <c r="F22" i="91"/>
  <c r="E22" i="91"/>
  <c r="P21" i="91"/>
  <c r="O21" i="91"/>
  <c r="N21" i="91"/>
  <c r="M21" i="91"/>
  <c r="L21" i="91"/>
  <c r="K21" i="91"/>
  <c r="J21" i="91"/>
  <c r="I21" i="91"/>
  <c r="H21" i="91"/>
  <c r="G21" i="91"/>
  <c r="F21" i="91"/>
  <c r="E21" i="91"/>
  <c r="U19" i="91"/>
  <c r="P18" i="91"/>
  <c r="P37" i="91" s="1"/>
  <c r="P46" i="91" s="1"/>
  <c r="O18" i="91"/>
  <c r="O37" i="91" s="1"/>
  <c r="O46" i="91" s="1"/>
  <c r="N18" i="91"/>
  <c r="N37" i="91" s="1"/>
  <c r="N46" i="91" s="1"/>
  <c r="M18" i="91"/>
  <c r="L18" i="91"/>
  <c r="K18" i="91"/>
  <c r="J18" i="91"/>
  <c r="I18" i="91"/>
  <c r="I37" i="91" s="1"/>
  <c r="I46" i="91" s="1"/>
  <c r="H18" i="91"/>
  <c r="H37" i="91" s="1"/>
  <c r="H46" i="91" s="1"/>
  <c r="G18" i="91"/>
  <c r="G37" i="91" s="1"/>
  <c r="G46" i="91" s="1"/>
  <c r="F18" i="91"/>
  <c r="F37" i="91" s="1"/>
  <c r="F46" i="91" s="1"/>
  <c r="E18" i="91"/>
  <c r="E37" i="91" s="1"/>
  <c r="E46" i="91" s="1"/>
  <c r="Q17" i="91"/>
  <c r="Q16" i="91"/>
  <c r="U16" i="91" s="1"/>
  <c r="Q15" i="91"/>
  <c r="U15" i="91" s="1"/>
  <c r="Q14" i="91"/>
  <c r="U14" i="91" s="1"/>
  <c r="Q13" i="91"/>
  <c r="Q25" i="91" l="1"/>
  <c r="U25" i="91" s="1"/>
  <c r="Q22" i="91"/>
  <c r="U22" i="91" s="1"/>
  <c r="Q24" i="91"/>
  <c r="U24" i="91" s="1"/>
  <c r="Q21" i="91"/>
  <c r="U21" i="91" s="1"/>
  <c r="Q18" i="91"/>
  <c r="U18" i="91" s="1"/>
  <c r="J37" i="91"/>
  <c r="J46" i="91" s="1"/>
  <c r="U17" i="91"/>
  <c r="K37" i="91"/>
  <c r="K46" i="91" s="1"/>
  <c r="L37" i="91"/>
  <c r="L46" i="91" s="1"/>
  <c r="M37" i="91"/>
  <c r="M46" i="91" s="1"/>
  <c r="U13" i="91"/>
  <c r="W21" i="91" l="1"/>
  <c r="W33" i="91"/>
  <c r="W34" i="91" s="1"/>
  <c r="W23" i="91"/>
  <c r="W24" i="91"/>
  <c r="Q100" i="127" l="1"/>
  <c r="Q101" i="127"/>
  <c r="Q102" i="127"/>
  <c r="Q103" i="127"/>
  <c r="Q104" i="127"/>
  <c r="Q105" i="127"/>
  <c r="Q75" i="127"/>
  <c r="Q76" i="127"/>
  <c r="Q77" i="127"/>
  <c r="F24" i="127"/>
  <c r="G24" i="127"/>
  <c r="H24" i="127"/>
  <c r="I24" i="127"/>
  <c r="J24" i="127"/>
  <c r="K24" i="127"/>
  <c r="L24" i="127"/>
  <c r="M24" i="127"/>
  <c r="N24" i="127"/>
  <c r="O24" i="127"/>
  <c r="P24" i="127"/>
  <c r="E24" i="127"/>
  <c r="Q17" i="127"/>
  <c r="Q24" i="127" l="1"/>
  <c r="P96" i="141"/>
  <c r="F145" i="93" l="1"/>
  <c r="G145" i="93"/>
  <c r="H145" i="93"/>
  <c r="I145" i="93"/>
  <c r="J145" i="93"/>
  <c r="K145" i="93"/>
  <c r="L145" i="93"/>
  <c r="M145" i="93"/>
  <c r="N145" i="93"/>
  <c r="O145" i="93"/>
  <c r="P145" i="93"/>
  <c r="E145" i="93"/>
  <c r="F22" i="138"/>
  <c r="G22" i="138"/>
  <c r="H22" i="138"/>
  <c r="I22" i="138"/>
  <c r="J22" i="138"/>
  <c r="K22" i="138"/>
  <c r="L22" i="138"/>
  <c r="M22" i="138"/>
  <c r="N22" i="138"/>
  <c r="O22" i="138"/>
  <c r="P22" i="138"/>
  <c r="E22" i="138"/>
  <c r="F46" i="132"/>
  <c r="G46" i="132"/>
  <c r="H46" i="132"/>
  <c r="I46" i="132"/>
  <c r="J46" i="132"/>
  <c r="K46" i="132"/>
  <c r="L46" i="132"/>
  <c r="M46" i="132"/>
  <c r="N46" i="132"/>
  <c r="O46" i="132"/>
  <c r="P46" i="132"/>
  <c r="E46" i="132"/>
  <c r="P33" i="123"/>
  <c r="M33" i="123"/>
  <c r="I33" i="123"/>
  <c r="F43" i="147" l="1"/>
  <c r="G43" i="147"/>
  <c r="H43" i="147"/>
  <c r="I43" i="147"/>
  <c r="J43" i="147"/>
  <c r="K43" i="147"/>
  <c r="L43" i="147"/>
  <c r="M43" i="147"/>
  <c r="N43" i="147"/>
  <c r="O43" i="147"/>
  <c r="P43" i="147"/>
  <c r="E43" i="147"/>
  <c r="F67" i="126"/>
  <c r="G67" i="126"/>
  <c r="H67" i="126"/>
  <c r="I67" i="126"/>
  <c r="J67" i="126"/>
  <c r="K67" i="126"/>
  <c r="L67" i="126"/>
  <c r="M67" i="126"/>
  <c r="N67" i="126"/>
  <c r="O67" i="126"/>
  <c r="P67" i="126"/>
  <c r="E67" i="126"/>
  <c r="F68" i="121"/>
  <c r="G68" i="121"/>
  <c r="H68" i="121"/>
  <c r="I68" i="121"/>
  <c r="J68" i="121"/>
  <c r="K68" i="121"/>
  <c r="L68" i="121"/>
  <c r="M68" i="121"/>
  <c r="N68" i="121"/>
  <c r="O68" i="121"/>
  <c r="P68" i="121"/>
  <c r="E68" i="121"/>
  <c r="F67" i="125"/>
  <c r="G67" i="125"/>
  <c r="H67" i="125"/>
  <c r="I67" i="125"/>
  <c r="J67" i="125"/>
  <c r="K67" i="125"/>
  <c r="L67" i="125"/>
  <c r="M67" i="125"/>
  <c r="N67" i="125"/>
  <c r="O67" i="125"/>
  <c r="P67" i="125"/>
  <c r="E67" i="125"/>
  <c r="F80" i="134"/>
  <c r="G80" i="134"/>
  <c r="H80" i="134"/>
  <c r="I80" i="134"/>
  <c r="J80" i="134"/>
  <c r="K80" i="134"/>
  <c r="L80" i="134"/>
  <c r="M80" i="134"/>
  <c r="N80" i="134"/>
  <c r="O80" i="134"/>
  <c r="P80" i="134"/>
  <c r="E80" i="134"/>
  <c r="E76" i="81"/>
  <c r="F76" i="81"/>
  <c r="G76" i="81"/>
  <c r="H76" i="81"/>
  <c r="I76" i="81"/>
  <c r="J76" i="81"/>
  <c r="K76" i="81"/>
  <c r="L76" i="81"/>
  <c r="M76" i="81"/>
  <c r="N76" i="81"/>
  <c r="O76" i="81"/>
  <c r="P76" i="81"/>
  <c r="E77" i="81"/>
  <c r="F77" i="81"/>
  <c r="G77" i="81"/>
  <c r="H77" i="81"/>
  <c r="I77" i="81"/>
  <c r="J77" i="81"/>
  <c r="K77" i="81"/>
  <c r="L77" i="81"/>
  <c r="M77" i="81"/>
  <c r="N77" i="81"/>
  <c r="O77" i="81"/>
  <c r="P77" i="81"/>
  <c r="E86" i="81"/>
  <c r="F86" i="81"/>
  <c r="G86" i="81"/>
  <c r="H86" i="81"/>
  <c r="I86" i="81"/>
  <c r="J86" i="81"/>
  <c r="K86" i="81"/>
  <c r="L86" i="81"/>
  <c r="M86" i="81"/>
  <c r="N86" i="81"/>
  <c r="O86" i="81"/>
  <c r="P86" i="81"/>
  <c r="E87" i="81"/>
  <c r="F87" i="81"/>
  <c r="G87" i="81"/>
  <c r="H87" i="81"/>
  <c r="I87" i="81"/>
  <c r="J87" i="81"/>
  <c r="K87" i="81"/>
  <c r="L87" i="81"/>
  <c r="M87" i="81"/>
  <c r="N87" i="81"/>
  <c r="O87" i="81"/>
  <c r="P87" i="81"/>
  <c r="Q197" i="153"/>
  <c r="Q194" i="154"/>
  <c r="F43" i="93"/>
  <c r="G43" i="93"/>
  <c r="H43" i="93"/>
  <c r="I43" i="93"/>
  <c r="J43" i="93"/>
  <c r="K43" i="93"/>
  <c r="L43" i="93"/>
  <c r="M43" i="93"/>
  <c r="N43" i="93"/>
  <c r="O43" i="93"/>
  <c r="P43" i="93"/>
  <c r="E43" i="93"/>
  <c r="F43" i="90"/>
  <c r="G43" i="90"/>
  <c r="H43" i="90"/>
  <c r="I43" i="90"/>
  <c r="J43" i="90"/>
  <c r="K43" i="90"/>
  <c r="L43" i="90"/>
  <c r="M43" i="90"/>
  <c r="N43" i="90"/>
  <c r="O43" i="90"/>
  <c r="P43" i="90"/>
  <c r="E43" i="90"/>
  <c r="F43" i="142" l="1"/>
  <c r="G43" i="142"/>
  <c r="H43" i="142"/>
  <c r="I43" i="142"/>
  <c r="J43" i="142"/>
  <c r="K43" i="142"/>
  <c r="L43" i="142"/>
  <c r="M43" i="142"/>
  <c r="N43" i="142"/>
  <c r="O43" i="142"/>
  <c r="P43" i="142"/>
  <c r="E43" i="142"/>
  <c r="F43" i="141"/>
  <c r="G43" i="141"/>
  <c r="H43" i="141"/>
  <c r="I43" i="141"/>
  <c r="J43" i="141"/>
  <c r="K43" i="141"/>
  <c r="L43" i="141"/>
  <c r="M43" i="141"/>
  <c r="N43" i="141"/>
  <c r="O43" i="141"/>
  <c r="P43" i="141"/>
  <c r="E43" i="141"/>
  <c r="F43" i="140"/>
  <c r="G43" i="140"/>
  <c r="H43" i="140"/>
  <c r="I43" i="140"/>
  <c r="J43" i="140"/>
  <c r="K43" i="140"/>
  <c r="L43" i="140"/>
  <c r="M43" i="140"/>
  <c r="N43" i="140"/>
  <c r="O43" i="140"/>
  <c r="P43" i="140"/>
  <c r="E43" i="140"/>
  <c r="F42" i="144" l="1"/>
  <c r="G42" i="144"/>
  <c r="H42" i="144"/>
  <c r="I42" i="144"/>
  <c r="J42" i="144"/>
  <c r="K42" i="144"/>
  <c r="L42" i="144"/>
  <c r="M42" i="144"/>
  <c r="N42" i="144"/>
  <c r="O42" i="144"/>
  <c r="P42" i="144"/>
  <c r="E42" i="144"/>
  <c r="F42" i="131"/>
  <c r="G42" i="131"/>
  <c r="H42" i="131"/>
  <c r="I42" i="131"/>
  <c r="J42" i="131"/>
  <c r="K42" i="131"/>
  <c r="L42" i="131"/>
  <c r="M42" i="131"/>
  <c r="N42" i="131"/>
  <c r="O42" i="131"/>
  <c r="P42" i="131"/>
  <c r="E42" i="131"/>
  <c r="F42" i="130"/>
  <c r="G42" i="130"/>
  <c r="H42" i="130"/>
  <c r="I42" i="130"/>
  <c r="J42" i="130"/>
  <c r="K42" i="130"/>
  <c r="L42" i="130"/>
  <c r="M42" i="130"/>
  <c r="N42" i="130"/>
  <c r="O42" i="130"/>
  <c r="P42" i="130"/>
  <c r="E42" i="130"/>
  <c r="F42" i="127"/>
  <c r="G42" i="127"/>
  <c r="H42" i="127"/>
  <c r="I42" i="127"/>
  <c r="J42" i="127"/>
  <c r="K42" i="127"/>
  <c r="L42" i="127"/>
  <c r="M42" i="127"/>
  <c r="N42" i="127"/>
  <c r="O42" i="127"/>
  <c r="P42" i="127"/>
  <c r="E42" i="127"/>
  <c r="F43" i="149"/>
  <c r="G43" i="149"/>
  <c r="H43" i="149"/>
  <c r="I43" i="149"/>
  <c r="J43" i="149"/>
  <c r="K43" i="149"/>
  <c r="L43" i="149"/>
  <c r="M43" i="149"/>
  <c r="N43" i="149"/>
  <c r="O43" i="149"/>
  <c r="P43" i="149"/>
  <c r="E43" i="149"/>
  <c r="Q40" i="149"/>
  <c r="Q41" i="149"/>
  <c r="Q42" i="149"/>
  <c r="Q44" i="149"/>
  <c r="Q45" i="149"/>
  <c r="Q46" i="149"/>
  <c r="Q47" i="149"/>
  <c r="Q48" i="149"/>
  <c r="Q49" i="149"/>
  <c r="Q117" i="149"/>
  <c r="Q118" i="149"/>
  <c r="Y199" i="108" s="1"/>
  <c r="Q119" i="149"/>
  <c r="F143" i="132"/>
  <c r="G143" i="132"/>
  <c r="H143" i="132"/>
  <c r="I143" i="132"/>
  <c r="J143" i="132"/>
  <c r="K143" i="132"/>
  <c r="L143" i="132"/>
  <c r="M143" i="132"/>
  <c r="N143" i="132"/>
  <c r="O143" i="132"/>
  <c r="P143" i="132"/>
  <c r="E143" i="132"/>
  <c r="F142" i="132"/>
  <c r="G142" i="132"/>
  <c r="H142" i="132"/>
  <c r="I142" i="132"/>
  <c r="J142" i="132"/>
  <c r="K142" i="132"/>
  <c r="L142" i="132"/>
  <c r="M142" i="132"/>
  <c r="N142" i="132"/>
  <c r="O142" i="132"/>
  <c r="P142" i="132"/>
  <c r="E142" i="132"/>
  <c r="F134" i="132"/>
  <c r="G134" i="132"/>
  <c r="H134" i="132"/>
  <c r="I134" i="132"/>
  <c r="J134" i="132"/>
  <c r="K134" i="132"/>
  <c r="L134" i="132"/>
  <c r="M134" i="132"/>
  <c r="N134" i="132"/>
  <c r="O134" i="132"/>
  <c r="P134" i="132"/>
  <c r="E134" i="132"/>
  <c r="E144" i="132"/>
  <c r="P144" i="132"/>
  <c r="O144" i="132"/>
  <c r="N144" i="132"/>
  <c r="M144" i="132"/>
  <c r="L144" i="132"/>
  <c r="K144" i="132"/>
  <c r="J144" i="132"/>
  <c r="I144" i="132"/>
  <c r="H144" i="132"/>
  <c r="G144" i="132"/>
  <c r="F144" i="132"/>
  <c r="Q93" i="127"/>
  <c r="Q94" i="127"/>
  <c r="Q95" i="127"/>
  <c r="Q96" i="127"/>
  <c r="E97" i="127"/>
  <c r="F97" i="127"/>
  <c r="G97" i="127"/>
  <c r="H97" i="127"/>
  <c r="I97" i="127"/>
  <c r="J97" i="127"/>
  <c r="K97" i="127"/>
  <c r="L97" i="127"/>
  <c r="M97" i="127"/>
  <c r="N97" i="127"/>
  <c r="O97" i="127"/>
  <c r="P97" i="127"/>
  <c r="Q106" i="127"/>
  <c r="Q43" i="149" l="1"/>
  <c r="Q99" i="127"/>
  <c r="P136" i="147" l="1"/>
  <c r="O136" i="147"/>
  <c r="N136" i="147"/>
  <c r="M136" i="147"/>
  <c r="L136" i="147"/>
  <c r="K136" i="147"/>
  <c r="J136" i="147"/>
  <c r="I136" i="147"/>
  <c r="H136" i="147"/>
  <c r="G136" i="147"/>
  <c r="F136" i="147"/>
  <c r="E136" i="147"/>
  <c r="E143" i="122" l="1"/>
  <c r="Q136" i="147"/>
  <c r="Q40" i="122"/>
  <c r="Q41" i="122"/>
  <c r="Q49" i="122"/>
  <c r="Q50" i="122"/>
  <c r="Q51" i="122"/>
  <c r="Q52" i="122"/>
  <c r="Q53" i="122"/>
  <c r="Q55" i="122"/>
  <c r="Q57" i="122"/>
  <c r="Q58" i="122"/>
  <c r="Q60" i="122"/>
  <c r="Q61" i="122"/>
  <c r="Q62" i="122"/>
  <c r="Q63" i="122"/>
  <c r="Q66" i="122"/>
  <c r="Q67" i="122"/>
  <c r="Q68" i="122"/>
  <c r="Q69" i="122"/>
  <c r="Q70" i="122"/>
  <c r="Q78" i="122"/>
  <c r="Q79" i="122"/>
  <c r="Q80" i="122"/>
  <c r="Q81" i="122"/>
  <c r="Q82" i="122"/>
  <c r="Q83" i="122"/>
  <c r="Q84" i="122"/>
  <c r="Q85" i="122"/>
  <c r="Q86" i="122"/>
  <c r="Q87" i="122"/>
  <c r="Q88" i="122"/>
  <c r="Q89" i="122"/>
  <c r="Q90" i="122"/>
  <c r="Q91" i="122"/>
  <c r="Q92" i="122"/>
  <c r="Q93" i="122"/>
  <c r="Q94" i="122"/>
  <c r="Q96" i="122"/>
  <c r="Q97" i="122"/>
  <c r="Q98" i="122"/>
  <c r="Q99" i="122"/>
  <c r="Q100" i="122"/>
  <c r="Q101" i="122"/>
  <c r="Q102" i="122"/>
  <c r="Q103" i="122"/>
  <c r="Q104" i="122"/>
  <c r="Q105" i="122"/>
  <c r="Q106" i="122"/>
  <c r="Q120" i="127" l="1"/>
  <c r="Q76" i="122"/>
  <c r="E74" i="108"/>
  <c r="F74" i="108"/>
  <c r="G74" i="108"/>
  <c r="H74" i="108"/>
  <c r="I74" i="108"/>
  <c r="J74" i="108"/>
  <c r="K74" i="108"/>
  <c r="L74" i="108"/>
  <c r="M74" i="108"/>
  <c r="N74" i="108"/>
  <c r="O74" i="108"/>
  <c r="P74" i="108"/>
  <c r="E75" i="108"/>
  <c r="F75" i="108"/>
  <c r="G75" i="108"/>
  <c r="H75" i="108"/>
  <c r="I75" i="108"/>
  <c r="J75" i="108"/>
  <c r="K75" i="108"/>
  <c r="L75" i="108"/>
  <c r="M75" i="108"/>
  <c r="N75" i="108"/>
  <c r="O75" i="108"/>
  <c r="P75" i="108"/>
  <c r="G96" i="132" l="1"/>
  <c r="F98" i="132"/>
  <c r="G98" i="132"/>
  <c r="H98" i="132"/>
  <c r="I98" i="132"/>
  <c r="J98" i="132"/>
  <c r="K98" i="132"/>
  <c r="L98" i="132"/>
  <c r="M98" i="132"/>
  <c r="N98" i="132"/>
  <c r="O98" i="132"/>
  <c r="P98" i="132"/>
  <c r="F99" i="132"/>
  <c r="G99" i="132"/>
  <c r="H99" i="132"/>
  <c r="I99" i="132"/>
  <c r="J99" i="132"/>
  <c r="K99" i="132"/>
  <c r="L99" i="132"/>
  <c r="M99" i="132"/>
  <c r="N99" i="132"/>
  <c r="O99" i="132"/>
  <c r="P99" i="132"/>
  <c r="E99" i="132"/>
  <c r="Y71" i="127"/>
  <c r="Y55" i="127"/>
  <c r="F43" i="139" l="1"/>
  <c r="G43" i="139"/>
  <c r="H43" i="139"/>
  <c r="I43" i="139"/>
  <c r="J43" i="139"/>
  <c r="K43" i="139"/>
  <c r="L43" i="139"/>
  <c r="M43" i="139"/>
  <c r="N43" i="139"/>
  <c r="O43" i="139"/>
  <c r="P43" i="139"/>
  <c r="E43" i="139"/>
  <c r="O96" i="141" l="1"/>
  <c r="N96" i="141"/>
  <c r="M96" i="141"/>
  <c r="L96" i="141"/>
  <c r="K96" i="141"/>
  <c r="J96" i="141"/>
  <c r="I96" i="141"/>
  <c r="H96" i="141"/>
  <c r="F96" i="141"/>
  <c r="E96" i="141"/>
  <c r="P66" i="141"/>
  <c r="O66" i="141"/>
  <c r="N66" i="141"/>
  <c r="M66" i="141"/>
  <c r="L66" i="141"/>
  <c r="K66" i="141"/>
  <c r="J66" i="141"/>
  <c r="I66" i="141"/>
  <c r="H66" i="141"/>
  <c r="G66" i="141"/>
  <c r="F66" i="141"/>
  <c r="E66" i="141"/>
  <c r="Q106" i="121" l="1"/>
  <c r="Q105" i="121"/>
  <c r="Q104" i="121"/>
  <c r="Q103" i="121"/>
  <c r="Q102" i="121"/>
  <c r="E101" i="121"/>
  <c r="Q101" i="121" s="1"/>
  <c r="Q100" i="121"/>
  <c r="Q99" i="121"/>
  <c r="Q98" i="121"/>
  <c r="Q97" i="121"/>
  <c r="Q95" i="121"/>
  <c r="Q94" i="121"/>
  <c r="Q93" i="121"/>
  <c r="Q92" i="121"/>
  <c r="Q91" i="121"/>
  <c r="Q90" i="121"/>
  <c r="Q89" i="121"/>
  <c r="Q88" i="121"/>
  <c r="Q87" i="121"/>
  <c r="Q86" i="121"/>
  <c r="Q85" i="121"/>
  <c r="Q84" i="121"/>
  <c r="Q83" i="121"/>
  <c r="Q82" i="121"/>
  <c r="Q80" i="121"/>
  <c r="Q79" i="121"/>
  <c r="E76" i="121"/>
  <c r="Q76" i="121" s="1"/>
  <c r="Q74" i="121"/>
  <c r="Q72" i="121"/>
  <c r="Q71" i="121"/>
  <c r="Q70" i="121"/>
  <c r="Q69" i="121"/>
  <c r="Q68" i="121"/>
  <c r="Q67" i="121"/>
  <c r="Q66" i="121"/>
  <c r="Q64" i="121"/>
  <c r="Q63" i="121"/>
  <c r="Q62" i="121"/>
  <c r="Q61" i="121"/>
  <c r="Q59" i="121"/>
  <c r="Q56" i="121"/>
  <c r="Q55" i="121"/>
  <c r="Q54" i="121"/>
  <c r="Q53" i="121"/>
  <c r="Q52" i="121"/>
  <c r="Q50" i="121"/>
  <c r="Q46" i="121"/>
  <c r="Q45" i="121"/>
  <c r="Q42" i="121"/>
  <c r="Q41" i="121"/>
  <c r="Q40" i="121"/>
  <c r="E83" i="108"/>
  <c r="Q39" i="122"/>
  <c r="Z11" i="155" l="1"/>
  <c r="V80" i="155" l="1"/>
  <c r="E116" i="127" l="1"/>
  <c r="F226" i="143" l="1"/>
  <c r="G226" i="143"/>
  <c r="H226" i="143"/>
  <c r="I226" i="143"/>
  <c r="J226" i="143"/>
  <c r="K226" i="143"/>
  <c r="L226" i="143"/>
  <c r="M226" i="143"/>
  <c r="N226" i="143"/>
  <c r="O226" i="143"/>
  <c r="P226" i="143"/>
  <c r="E226" i="143"/>
  <c r="Q223" i="143"/>
  <c r="Q224" i="143"/>
  <c r="Q219" i="143"/>
  <c r="Q218" i="143"/>
  <c r="Q217" i="143"/>
  <c r="Q220" i="143"/>
  <c r="Q216" i="143"/>
  <c r="Q222" i="143"/>
  <c r="Q225" i="143"/>
  <c r="Q221" i="143"/>
  <c r="F213" i="143"/>
  <c r="G213" i="143"/>
  <c r="H213" i="143"/>
  <c r="I213" i="143"/>
  <c r="J213" i="143"/>
  <c r="K213" i="143"/>
  <c r="L213" i="143"/>
  <c r="M213" i="143"/>
  <c r="N213" i="143"/>
  <c r="O213" i="143"/>
  <c r="P213" i="143"/>
  <c r="E213" i="143"/>
  <c r="F212" i="143"/>
  <c r="G212" i="143"/>
  <c r="H212" i="143"/>
  <c r="I212" i="143"/>
  <c r="J212" i="143"/>
  <c r="K212" i="143"/>
  <c r="L212" i="143"/>
  <c r="M212" i="143"/>
  <c r="N212" i="143"/>
  <c r="O212" i="143"/>
  <c r="P212" i="143"/>
  <c r="E212" i="143"/>
  <c r="Q211" i="143"/>
  <c r="Q210" i="143"/>
  <c r="Q209" i="143"/>
  <c r="Q205" i="143"/>
  <c r="Q206" i="143"/>
  <c r="Q207" i="143"/>
  <c r="Q208" i="143"/>
  <c r="Q42" i="127"/>
  <c r="Q56" i="90" l="1"/>
  <c r="V56" i="90" s="1"/>
  <c r="Q55" i="127"/>
  <c r="T55" i="127" s="1"/>
  <c r="Q213" i="143"/>
  <c r="Q226" i="143"/>
  <c r="Q212" i="143"/>
  <c r="F81" i="139"/>
  <c r="G81" i="139"/>
  <c r="H81" i="139"/>
  <c r="I81" i="139"/>
  <c r="J81" i="139"/>
  <c r="K81" i="139"/>
  <c r="L81" i="139"/>
  <c r="M81" i="139"/>
  <c r="N81" i="139"/>
  <c r="O81" i="139"/>
  <c r="P81" i="139"/>
  <c r="E81" i="139"/>
  <c r="P29" i="132" l="1"/>
  <c r="O29" i="132"/>
  <c r="N29" i="132"/>
  <c r="M29" i="132"/>
  <c r="L29" i="132"/>
  <c r="K29" i="132"/>
  <c r="J29" i="132"/>
  <c r="I29" i="132"/>
  <c r="H29" i="132"/>
  <c r="G29" i="132"/>
  <c r="F29" i="132"/>
  <c r="E29" i="132"/>
  <c r="P28" i="132"/>
  <c r="O28" i="132"/>
  <c r="N28" i="132"/>
  <c r="M28" i="132"/>
  <c r="L28" i="132"/>
  <c r="K28" i="132"/>
  <c r="J28" i="132"/>
  <c r="I28" i="132"/>
  <c r="H28" i="132"/>
  <c r="G28" i="132"/>
  <c r="F28" i="132"/>
  <c r="E28" i="132"/>
  <c r="M21" i="130" l="1"/>
  <c r="N21" i="130"/>
  <c r="K21" i="130"/>
  <c r="O21" i="130"/>
  <c r="G21" i="130"/>
  <c r="H21" i="130"/>
  <c r="I21" i="130"/>
  <c r="J21" i="130"/>
  <c r="L21" i="130"/>
  <c r="P21" i="130"/>
  <c r="E21" i="130"/>
  <c r="F21" i="130"/>
  <c r="E114" i="132"/>
  <c r="F114" i="132"/>
  <c r="G114" i="132"/>
  <c r="H114" i="132"/>
  <c r="I114" i="132"/>
  <c r="J114" i="132"/>
  <c r="K114" i="132"/>
  <c r="L114" i="132"/>
  <c r="M114" i="132"/>
  <c r="N114" i="132"/>
  <c r="O114" i="132"/>
  <c r="P114" i="132"/>
  <c r="E94" i="136" l="1"/>
  <c r="F94" i="136"/>
  <c r="G94" i="136"/>
  <c r="H94" i="136"/>
  <c r="I94" i="136"/>
  <c r="J94" i="136"/>
  <c r="K94" i="136"/>
  <c r="L94" i="136"/>
  <c r="M94" i="136"/>
  <c r="N94" i="136"/>
  <c r="O94" i="136"/>
  <c r="P94" i="136"/>
  <c r="Q135" i="147" l="1"/>
  <c r="D7" i="132" l="1"/>
  <c r="D7" i="127"/>
  <c r="D7" i="130"/>
  <c r="D7" i="131"/>
  <c r="D7" i="144"/>
  <c r="D7" i="108"/>
  <c r="D7" i="149"/>
  <c r="D7" i="122"/>
  <c r="D7" i="123"/>
  <c r="D7" i="125"/>
  <c r="D7" i="119"/>
  <c r="D7" i="121"/>
  <c r="D7" i="148"/>
  <c r="D7" i="126"/>
  <c r="D7" i="146"/>
  <c r="D7" i="147"/>
  <c r="D7" i="81"/>
  <c r="D7" i="134"/>
  <c r="D7" i="135"/>
  <c r="D7" i="138"/>
  <c r="D7" i="150"/>
  <c r="D7" i="151"/>
  <c r="D7" i="152"/>
  <c r="D7" i="136"/>
  <c r="D7" i="83"/>
  <c r="D7" i="139"/>
  <c r="D7" i="140"/>
  <c r="D7" i="141"/>
  <c r="D7" i="142"/>
  <c r="D7" i="143"/>
  <c r="D7" i="90"/>
  <c r="D7" i="93"/>
  <c r="D7" i="153"/>
  <c r="D7" i="154"/>
  <c r="D7" i="155"/>
  <c r="D7" i="18"/>
  <c r="C7" i="59"/>
  <c r="C9" i="59" l="1"/>
  <c r="Q122" i="152"/>
  <c r="T122" i="152" s="1"/>
  <c r="Q121" i="152"/>
  <c r="T121" i="152" s="1"/>
  <c r="F108" i="151"/>
  <c r="G108" i="151"/>
  <c r="H108" i="151"/>
  <c r="I108" i="151"/>
  <c r="J108" i="151"/>
  <c r="K108" i="151"/>
  <c r="L108" i="151"/>
  <c r="M108" i="151"/>
  <c r="N108" i="151"/>
  <c r="O108" i="151"/>
  <c r="P108" i="151"/>
  <c r="E108" i="151"/>
  <c r="Q107" i="151"/>
  <c r="T107" i="151" s="1"/>
  <c r="Q106" i="151"/>
  <c r="T106" i="151" s="1"/>
  <c r="Q129" i="150"/>
  <c r="T129" i="150" s="1"/>
  <c r="Q128" i="150"/>
  <c r="T128" i="150" s="1"/>
  <c r="F117" i="138"/>
  <c r="G117" i="138"/>
  <c r="H117" i="138"/>
  <c r="I117" i="138"/>
  <c r="J117" i="138"/>
  <c r="K117" i="138"/>
  <c r="L117" i="138"/>
  <c r="M117" i="138"/>
  <c r="N117" i="138"/>
  <c r="O117" i="138"/>
  <c r="P117" i="138"/>
  <c r="E117" i="138"/>
  <c r="Q116" i="138"/>
  <c r="T116" i="138" s="1"/>
  <c r="Q115" i="138"/>
  <c r="T115" i="138" s="1"/>
  <c r="Q136" i="134"/>
  <c r="T136" i="134" s="1"/>
  <c r="T135" i="134"/>
  <c r="F111" i="136"/>
  <c r="G111" i="136"/>
  <c r="H111" i="136"/>
  <c r="I111" i="136"/>
  <c r="J111" i="136"/>
  <c r="K111" i="136"/>
  <c r="L111" i="136"/>
  <c r="M111" i="136"/>
  <c r="N111" i="136"/>
  <c r="O111" i="136"/>
  <c r="P111" i="136"/>
  <c r="E111" i="136"/>
  <c r="Q110" i="136"/>
  <c r="T110" i="136" s="1"/>
  <c r="Q109" i="136"/>
  <c r="T109" i="136" s="1"/>
  <c r="F182" i="108"/>
  <c r="G182" i="108"/>
  <c r="H182" i="108"/>
  <c r="I182" i="108"/>
  <c r="J182" i="108"/>
  <c r="K182" i="108"/>
  <c r="L182" i="108"/>
  <c r="M182" i="108"/>
  <c r="N182" i="108"/>
  <c r="O182" i="108"/>
  <c r="P182" i="108"/>
  <c r="E182" i="108"/>
  <c r="F181" i="108"/>
  <c r="G181" i="108"/>
  <c r="H181" i="108"/>
  <c r="I181" i="108"/>
  <c r="J181" i="108"/>
  <c r="K181" i="108"/>
  <c r="L181" i="108"/>
  <c r="M181" i="108"/>
  <c r="N181" i="108"/>
  <c r="O181" i="108"/>
  <c r="P181" i="108"/>
  <c r="E181" i="108"/>
  <c r="Q142" i="125"/>
  <c r="Q141" i="125"/>
  <c r="Q142" i="124"/>
  <c r="Q141" i="124"/>
  <c r="E143" i="123"/>
  <c r="Q142" i="123"/>
  <c r="Q141" i="123"/>
  <c r="Q142" i="126"/>
  <c r="Q141" i="126"/>
  <c r="Q142" i="119"/>
  <c r="Q141" i="119"/>
  <c r="Q77" i="81" l="1"/>
  <c r="Q181" i="108"/>
  <c r="M33" i="122" l="1"/>
  <c r="J33" i="122"/>
  <c r="F33" i="122"/>
  <c r="F51" i="18" l="1"/>
  <c r="G51" i="18"/>
  <c r="H51" i="18"/>
  <c r="I51" i="18"/>
  <c r="J51" i="18"/>
  <c r="K51" i="18"/>
  <c r="L51" i="18"/>
  <c r="M51" i="18"/>
  <c r="N51" i="18"/>
  <c r="O51" i="18"/>
  <c r="P51" i="18"/>
  <c r="E51" i="18"/>
  <c r="Q170" i="153" l="1"/>
  <c r="Q169" i="153"/>
  <c r="Q196" i="93"/>
  <c r="Q171" i="93"/>
  <c r="U171" i="93" s="1"/>
  <c r="Q170" i="93"/>
  <c r="U170" i="93" s="1"/>
  <c r="Q197" i="90"/>
  <c r="Q172" i="90" l="1"/>
  <c r="V172" i="90" s="1"/>
  <c r="Q171" i="90"/>
  <c r="V171" i="90" s="1"/>
  <c r="E169" i="83"/>
  <c r="F169" i="83"/>
  <c r="G169" i="83"/>
  <c r="H169" i="83"/>
  <c r="I169" i="83"/>
  <c r="J169" i="83"/>
  <c r="K169" i="83"/>
  <c r="L169" i="83"/>
  <c r="M169" i="83"/>
  <c r="N169" i="83"/>
  <c r="O169" i="83"/>
  <c r="P169" i="83"/>
  <c r="E170" i="83"/>
  <c r="F170" i="83"/>
  <c r="G170" i="83"/>
  <c r="H170" i="83"/>
  <c r="I170" i="83"/>
  <c r="J170" i="83"/>
  <c r="K170" i="83"/>
  <c r="L170" i="83"/>
  <c r="M170" i="83"/>
  <c r="N170" i="83"/>
  <c r="O170" i="83"/>
  <c r="P170" i="83"/>
  <c r="E171" i="83"/>
  <c r="F171" i="83"/>
  <c r="G171" i="83"/>
  <c r="H171" i="83"/>
  <c r="I171" i="83"/>
  <c r="J171" i="83"/>
  <c r="K171" i="83"/>
  <c r="L171" i="83"/>
  <c r="M171" i="83"/>
  <c r="N171" i="83"/>
  <c r="O171" i="83"/>
  <c r="P171" i="83"/>
  <c r="E172" i="83"/>
  <c r="F172" i="83"/>
  <c r="G172" i="83"/>
  <c r="H172" i="83"/>
  <c r="I172" i="83"/>
  <c r="J172" i="83"/>
  <c r="K172" i="83"/>
  <c r="L172" i="83"/>
  <c r="M172" i="83"/>
  <c r="N172" i="83"/>
  <c r="O172" i="83"/>
  <c r="P172" i="83"/>
  <c r="E173" i="83"/>
  <c r="F173" i="83"/>
  <c r="G173" i="83"/>
  <c r="H173" i="83"/>
  <c r="I173" i="83"/>
  <c r="J173" i="83"/>
  <c r="K173" i="83"/>
  <c r="L173" i="83"/>
  <c r="M173" i="83"/>
  <c r="N173" i="83"/>
  <c r="O173" i="83"/>
  <c r="P173" i="83"/>
  <c r="E174" i="83"/>
  <c r="F174" i="83"/>
  <c r="G174" i="83"/>
  <c r="H174" i="83"/>
  <c r="I174" i="83"/>
  <c r="J174" i="83"/>
  <c r="K174" i="83"/>
  <c r="L174" i="83"/>
  <c r="M174" i="83"/>
  <c r="N174" i="83"/>
  <c r="O174" i="83"/>
  <c r="P174" i="83"/>
  <c r="Q197" i="143"/>
  <c r="Q173" i="83" l="1"/>
  <c r="U173" i="83" s="1"/>
  <c r="Q172" i="143"/>
  <c r="T172" i="143" s="1"/>
  <c r="Q171" i="143"/>
  <c r="Q172" i="142"/>
  <c r="Q171" i="142"/>
  <c r="Q172" i="141"/>
  <c r="T171" i="143" l="1"/>
  <c r="Q172" i="140" l="1"/>
  <c r="Q171" i="140"/>
  <c r="T171" i="140" l="1"/>
  <c r="T172" i="140"/>
  <c r="Q172" i="139"/>
  <c r="Q171" i="139"/>
  <c r="T171" i="139" s="1"/>
  <c r="E130" i="132"/>
  <c r="F130" i="132"/>
  <c r="G130" i="132"/>
  <c r="H130" i="132"/>
  <c r="I130" i="132"/>
  <c r="J130" i="132"/>
  <c r="K130" i="132"/>
  <c r="L130" i="132"/>
  <c r="M130" i="132"/>
  <c r="N130" i="132"/>
  <c r="O130" i="132"/>
  <c r="P130" i="132"/>
  <c r="E131" i="132"/>
  <c r="F131" i="132"/>
  <c r="G131" i="132"/>
  <c r="H131" i="132"/>
  <c r="I131" i="132"/>
  <c r="J131" i="132"/>
  <c r="K131" i="132"/>
  <c r="L131" i="132"/>
  <c r="M131" i="132"/>
  <c r="N131" i="132"/>
  <c r="O131" i="132"/>
  <c r="P131" i="132"/>
  <c r="E132" i="132"/>
  <c r="F132" i="132"/>
  <c r="G132" i="132"/>
  <c r="H132" i="132"/>
  <c r="I132" i="132"/>
  <c r="J132" i="132"/>
  <c r="K132" i="132"/>
  <c r="L132" i="132"/>
  <c r="M132" i="132"/>
  <c r="N132" i="132"/>
  <c r="O132" i="132"/>
  <c r="P132" i="132"/>
  <c r="E133" i="132"/>
  <c r="F133" i="132"/>
  <c r="G133" i="132"/>
  <c r="H133" i="132"/>
  <c r="I133" i="132"/>
  <c r="J133" i="132"/>
  <c r="K133" i="132"/>
  <c r="L133" i="132"/>
  <c r="M133" i="132"/>
  <c r="N133" i="132"/>
  <c r="O133" i="132"/>
  <c r="P133" i="132"/>
  <c r="E135" i="132"/>
  <c r="F135" i="132"/>
  <c r="G135" i="132"/>
  <c r="H135" i="132"/>
  <c r="I135" i="132"/>
  <c r="J135" i="132"/>
  <c r="K135" i="132"/>
  <c r="L135" i="132"/>
  <c r="M135" i="132"/>
  <c r="N135" i="132"/>
  <c r="O135" i="132"/>
  <c r="P135" i="132"/>
  <c r="Q133" i="132" l="1"/>
  <c r="Q132" i="132"/>
  <c r="T172" i="139"/>
  <c r="Q112" i="135"/>
  <c r="T112" i="135" s="1"/>
  <c r="Q111" i="135"/>
  <c r="Q137" i="135"/>
  <c r="T111" i="135" l="1"/>
  <c r="Q125" i="148"/>
  <c r="Q98" i="147" l="1"/>
  <c r="U98" i="147" l="1"/>
  <c r="Q98" i="148"/>
  <c r="U98" i="148" s="1"/>
  <c r="Q97" i="148"/>
  <c r="Q166" i="121"/>
  <c r="Q141" i="121"/>
  <c r="T141" i="121" s="1"/>
  <c r="Q140" i="121"/>
  <c r="Q140" i="122"/>
  <c r="Q141" i="122"/>
  <c r="Q120" i="130"/>
  <c r="Q94" i="130"/>
  <c r="T94" i="130" s="1"/>
  <c r="Q95" i="130"/>
  <c r="T95" i="130" s="1"/>
  <c r="U97" i="148" l="1"/>
  <c r="T140" i="121"/>
  <c r="T94" i="127"/>
  <c r="T95" i="127"/>
  <c r="E37" i="132" l="1"/>
  <c r="F37" i="132"/>
  <c r="G37" i="132"/>
  <c r="H37" i="132"/>
  <c r="I37" i="132"/>
  <c r="J37" i="132"/>
  <c r="K37" i="132"/>
  <c r="L37" i="132"/>
  <c r="M37" i="132"/>
  <c r="N37" i="132"/>
  <c r="O37" i="132"/>
  <c r="P37" i="132"/>
  <c r="E38" i="132"/>
  <c r="F38" i="132"/>
  <c r="G38" i="132"/>
  <c r="H38" i="132"/>
  <c r="I38" i="132"/>
  <c r="J38" i="132"/>
  <c r="K38" i="132"/>
  <c r="L38" i="132"/>
  <c r="M38" i="132"/>
  <c r="N38" i="132"/>
  <c r="O38" i="132"/>
  <c r="P38" i="132"/>
  <c r="E39" i="132"/>
  <c r="F39" i="132"/>
  <c r="G39" i="132"/>
  <c r="H39" i="132"/>
  <c r="I39" i="132"/>
  <c r="J39" i="132"/>
  <c r="K39" i="132"/>
  <c r="L39" i="132"/>
  <c r="M39" i="132"/>
  <c r="N39" i="132"/>
  <c r="O39" i="132"/>
  <c r="P39" i="132"/>
  <c r="E40" i="132"/>
  <c r="F40" i="132"/>
  <c r="G40" i="132"/>
  <c r="H40" i="132"/>
  <c r="I40" i="132"/>
  <c r="J40" i="132"/>
  <c r="K40" i="132"/>
  <c r="L40" i="132"/>
  <c r="M40" i="132"/>
  <c r="N40" i="132"/>
  <c r="O40" i="132"/>
  <c r="P40" i="132"/>
  <c r="E41" i="132"/>
  <c r="F41" i="132"/>
  <c r="G41" i="132"/>
  <c r="H41" i="132"/>
  <c r="I41" i="132"/>
  <c r="J41" i="132"/>
  <c r="K41" i="132"/>
  <c r="L41" i="132"/>
  <c r="M41" i="132"/>
  <c r="N41" i="132"/>
  <c r="O41" i="132"/>
  <c r="P41" i="132"/>
  <c r="E42" i="132"/>
  <c r="F42" i="132"/>
  <c r="G42" i="132"/>
  <c r="H42" i="132"/>
  <c r="I42" i="132"/>
  <c r="J42" i="132"/>
  <c r="K42" i="132"/>
  <c r="L42" i="132"/>
  <c r="M42" i="132"/>
  <c r="N42" i="132"/>
  <c r="O42" i="132"/>
  <c r="P42" i="132"/>
  <c r="E43" i="132"/>
  <c r="F43" i="132"/>
  <c r="G43" i="132"/>
  <c r="H43" i="132"/>
  <c r="I43" i="132"/>
  <c r="J43" i="132"/>
  <c r="K43" i="132"/>
  <c r="L43" i="132"/>
  <c r="M43" i="132"/>
  <c r="N43" i="132"/>
  <c r="O43" i="132"/>
  <c r="P43" i="132"/>
  <c r="E44" i="132"/>
  <c r="F44" i="132"/>
  <c r="G44" i="132"/>
  <c r="H44" i="132"/>
  <c r="I44" i="132"/>
  <c r="J44" i="132"/>
  <c r="K44" i="132"/>
  <c r="L44" i="132"/>
  <c r="M44" i="132"/>
  <c r="N44" i="132"/>
  <c r="O44" i="132"/>
  <c r="P44" i="132"/>
  <c r="E45" i="132"/>
  <c r="F45" i="132"/>
  <c r="G45" i="132"/>
  <c r="H45" i="132"/>
  <c r="I45" i="132"/>
  <c r="J45" i="132"/>
  <c r="K45" i="132"/>
  <c r="L45" i="132"/>
  <c r="M45" i="132"/>
  <c r="N45" i="132"/>
  <c r="O45" i="132"/>
  <c r="P45" i="132"/>
  <c r="E47" i="132"/>
  <c r="F47" i="132"/>
  <c r="G47" i="132"/>
  <c r="H47" i="132"/>
  <c r="I47" i="132"/>
  <c r="J47" i="132"/>
  <c r="K47" i="132"/>
  <c r="L47" i="132"/>
  <c r="M47" i="132"/>
  <c r="N47" i="132"/>
  <c r="O47" i="132"/>
  <c r="P47" i="132"/>
  <c r="E48" i="132"/>
  <c r="F48" i="132"/>
  <c r="G48" i="132"/>
  <c r="H48" i="132"/>
  <c r="I48" i="132"/>
  <c r="J48" i="132"/>
  <c r="K48" i="132"/>
  <c r="L48" i="132"/>
  <c r="M48" i="132"/>
  <c r="N48" i="132"/>
  <c r="O48" i="132"/>
  <c r="P48" i="132"/>
  <c r="E49" i="132"/>
  <c r="F49" i="132"/>
  <c r="G49" i="132"/>
  <c r="H49" i="132"/>
  <c r="I49" i="132"/>
  <c r="J49" i="132"/>
  <c r="K49" i="132"/>
  <c r="L49" i="132"/>
  <c r="M49" i="132"/>
  <c r="N49" i="132"/>
  <c r="O49" i="132"/>
  <c r="P49" i="132"/>
  <c r="E50" i="132"/>
  <c r="F50" i="132"/>
  <c r="G50" i="132"/>
  <c r="H50" i="132"/>
  <c r="I50" i="132"/>
  <c r="J50" i="132"/>
  <c r="K50" i="132"/>
  <c r="L50" i="132"/>
  <c r="M50" i="132"/>
  <c r="N50" i="132"/>
  <c r="O50" i="132"/>
  <c r="P50" i="132"/>
  <c r="E51" i="132"/>
  <c r="F51" i="132"/>
  <c r="G51" i="132"/>
  <c r="H51" i="132"/>
  <c r="I51" i="132"/>
  <c r="J51" i="132"/>
  <c r="K51" i="132"/>
  <c r="L51" i="132"/>
  <c r="M51" i="132"/>
  <c r="N51" i="132"/>
  <c r="O51" i="132"/>
  <c r="P51" i="132"/>
  <c r="E52" i="132"/>
  <c r="F52" i="132"/>
  <c r="G52" i="132"/>
  <c r="H52" i="132"/>
  <c r="I52" i="132"/>
  <c r="J52" i="132"/>
  <c r="K52" i="132"/>
  <c r="L52" i="132"/>
  <c r="M52" i="132"/>
  <c r="N52" i="132"/>
  <c r="O52" i="132"/>
  <c r="P52" i="132"/>
  <c r="E53" i="132"/>
  <c r="F53" i="132"/>
  <c r="G53" i="132"/>
  <c r="H53" i="132"/>
  <c r="I53" i="132"/>
  <c r="J53" i="132"/>
  <c r="K53" i="132"/>
  <c r="L53" i="132"/>
  <c r="M53" i="132"/>
  <c r="N53" i="132"/>
  <c r="O53" i="132"/>
  <c r="P53" i="132"/>
  <c r="E54" i="132"/>
  <c r="F54" i="132"/>
  <c r="G54" i="132"/>
  <c r="H54" i="132"/>
  <c r="I54" i="132"/>
  <c r="J54" i="132"/>
  <c r="K54" i="132"/>
  <c r="L54" i="132"/>
  <c r="M54" i="132"/>
  <c r="N54" i="132"/>
  <c r="O54" i="132"/>
  <c r="P54" i="132"/>
  <c r="E55" i="132"/>
  <c r="F55" i="132"/>
  <c r="G55" i="132"/>
  <c r="H55" i="132"/>
  <c r="I55" i="132"/>
  <c r="J55" i="132"/>
  <c r="K55" i="132"/>
  <c r="L55" i="132"/>
  <c r="M55" i="132"/>
  <c r="N55" i="132"/>
  <c r="O55" i="132"/>
  <c r="P55" i="132"/>
  <c r="E56" i="132"/>
  <c r="F56" i="132"/>
  <c r="G56" i="132"/>
  <c r="H56" i="132"/>
  <c r="I56" i="132"/>
  <c r="J56" i="132"/>
  <c r="K56" i="132"/>
  <c r="L56" i="132"/>
  <c r="M56" i="132"/>
  <c r="N56" i="132"/>
  <c r="O56" i="132"/>
  <c r="P56" i="132"/>
  <c r="E57" i="132"/>
  <c r="F57" i="132"/>
  <c r="G57" i="132"/>
  <c r="H57" i="132"/>
  <c r="I57" i="132"/>
  <c r="J57" i="132"/>
  <c r="K57" i="132"/>
  <c r="L57" i="132"/>
  <c r="M57" i="132"/>
  <c r="N57" i="132"/>
  <c r="O57" i="132"/>
  <c r="P57" i="132"/>
  <c r="E58" i="132"/>
  <c r="F58" i="132"/>
  <c r="G58" i="132"/>
  <c r="H58" i="132"/>
  <c r="I58" i="132"/>
  <c r="J58" i="132"/>
  <c r="K58" i="132"/>
  <c r="L58" i="132"/>
  <c r="M58" i="132"/>
  <c r="N58" i="132"/>
  <c r="O58" i="132"/>
  <c r="P58" i="132"/>
  <c r="E59" i="132"/>
  <c r="F59" i="132"/>
  <c r="G59" i="132"/>
  <c r="H59" i="132"/>
  <c r="I59" i="132"/>
  <c r="J59" i="132"/>
  <c r="K59" i="132"/>
  <c r="L59" i="132"/>
  <c r="M59" i="132"/>
  <c r="N59" i="132"/>
  <c r="O59" i="132"/>
  <c r="P59" i="132"/>
  <c r="E60" i="132"/>
  <c r="F60" i="132"/>
  <c r="G60" i="132"/>
  <c r="H60" i="132"/>
  <c r="I60" i="132"/>
  <c r="J60" i="132"/>
  <c r="K60" i="132"/>
  <c r="L60" i="132"/>
  <c r="M60" i="132"/>
  <c r="N60" i="132"/>
  <c r="O60" i="132"/>
  <c r="P60" i="132"/>
  <c r="E61" i="132"/>
  <c r="F61" i="132"/>
  <c r="G61" i="132"/>
  <c r="H61" i="132"/>
  <c r="I61" i="132"/>
  <c r="J61" i="132"/>
  <c r="K61" i="132"/>
  <c r="L61" i="132"/>
  <c r="M61" i="132"/>
  <c r="N61" i="132"/>
  <c r="O61" i="132"/>
  <c r="P61" i="132"/>
  <c r="E62" i="132"/>
  <c r="F62" i="132"/>
  <c r="G62" i="132"/>
  <c r="H62" i="132"/>
  <c r="I62" i="132"/>
  <c r="J62" i="132"/>
  <c r="K62" i="132"/>
  <c r="L62" i="132"/>
  <c r="M62" i="132"/>
  <c r="N62" i="132"/>
  <c r="O62" i="132"/>
  <c r="P62" i="132"/>
  <c r="E63" i="132"/>
  <c r="F63" i="132"/>
  <c r="G63" i="132"/>
  <c r="H63" i="132"/>
  <c r="I63" i="132"/>
  <c r="J63" i="132"/>
  <c r="K63" i="132"/>
  <c r="L63" i="132"/>
  <c r="M63" i="132"/>
  <c r="N63" i="132"/>
  <c r="O63" i="132"/>
  <c r="P63" i="132"/>
  <c r="E64" i="132"/>
  <c r="F64" i="132"/>
  <c r="G64" i="132"/>
  <c r="H64" i="132"/>
  <c r="I64" i="132"/>
  <c r="J64" i="132"/>
  <c r="K64" i="132"/>
  <c r="L64" i="132"/>
  <c r="M64" i="132"/>
  <c r="N64" i="132"/>
  <c r="O64" i="132"/>
  <c r="P64" i="132"/>
  <c r="E65" i="132"/>
  <c r="F65" i="132"/>
  <c r="G65" i="132"/>
  <c r="H65" i="132"/>
  <c r="I65" i="132"/>
  <c r="J65" i="132"/>
  <c r="K65" i="132"/>
  <c r="L65" i="132"/>
  <c r="M65" i="132"/>
  <c r="N65" i="132"/>
  <c r="O65" i="132"/>
  <c r="P65" i="132"/>
  <c r="E66" i="132"/>
  <c r="F66" i="132"/>
  <c r="G66" i="132"/>
  <c r="H66" i="132"/>
  <c r="I66" i="132"/>
  <c r="J66" i="132"/>
  <c r="K66" i="132"/>
  <c r="L66" i="132"/>
  <c r="M66" i="132"/>
  <c r="N66" i="132"/>
  <c r="O66" i="132"/>
  <c r="P66" i="132"/>
  <c r="E67" i="132"/>
  <c r="F67" i="132"/>
  <c r="G67" i="132"/>
  <c r="H67" i="132"/>
  <c r="I67" i="132"/>
  <c r="J67" i="132"/>
  <c r="K67" i="132"/>
  <c r="L67" i="132"/>
  <c r="M67" i="132"/>
  <c r="N67" i="132"/>
  <c r="O67" i="132"/>
  <c r="P67" i="132"/>
  <c r="E68" i="132"/>
  <c r="F68" i="132"/>
  <c r="G68" i="132"/>
  <c r="H68" i="132"/>
  <c r="I68" i="132"/>
  <c r="J68" i="132"/>
  <c r="K68" i="132"/>
  <c r="L68" i="132"/>
  <c r="M68" i="132"/>
  <c r="N68" i="132"/>
  <c r="O68" i="132"/>
  <c r="P68" i="132"/>
  <c r="E69" i="132"/>
  <c r="F69" i="132"/>
  <c r="G69" i="132"/>
  <c r="H69" i="132"/>
  <c r="I69" i="132"/>
  <c r="J69" i="132"/>
  <c r="K69" i="132"/>
  <c r="L69" i="132"/>
  <c r="M69" i="132"/>
  <c r="N69" i="132"/>
  <c r="O69" i="132"/>
  <c r="P69" i="132"/>
  <c r="E70" i="132"/>
  <c r="F70" i="132"/>
  <c r="G70" i="132"/>
  <c r="H70" i="132"/>
  <c r="I70" i="132"/>
  <c r="J70" i="132"/>
  <c r="K70" i="132"/>
  <c r="L70" i="132"/>
  <c r="M70" i="132"/>
  <c r="N70" i="132"/>
  <c r="O70" i="132"/>
  <c r="P70" i="132"/>
  <c r="E71" i="132"/>
  <c r="F71" i="132"/>
  <c r="G71" i="132"/>
  <c r="H71" i="132"/>
  <c r="I71" i="132"/>
  <c r="J71" i="132"/>
  <c r="K71" i="132"/>
  <c r="L71" i="132"/>
  <c r="M71" i="132"/>
  <c r="N71" i="132"/>
  <c r="O71" i="132"/>
  <c r="P71" i="132"/>
  <c r="E72" i="132"/>
  <c r="F72" i="132"/>
  <c r="G72" i="132"/>
  <c r="H72" i="132"/>
  <c r="I72" i="132"/>
  <c r="J72" i="132"/>
  <c r="K72" i="132"/>
  <c r="L72" i="132"/>
  <c r="M72" i="132"/>
  <c r="N72" i="132"/>
  <c r="O72" i="132"/>
  <c r="P72" i="132"/>
  <c r="E73" i="132"/>
  <c r="F73" i="132"/>
  <c r="G73" i="132"/>
  <c r="H73" i="132"/>
  <c r="I73" i="132"/>
  <c r="J73" i="132"/>
  <c r="K73" i="132"/>
  <c r="L73" i="132"/>
  <c r="M73" i="132"/>
  <c r="N73" i="132"/>
  <c r="O73" i="132"/>
  <c r="P73" i="132"/>
  <c r="E74" i="132"/>
  <c r="F74" i="132"/>
  <c r="G74" i="132"/>
  <c r="H74" i="132"/>
  <c r="I74" i="132"/>
  <c r="J74" i="132"/>
  <c r="K74" i="132"/>
  <c r="L74" i="132"/>
  <c r="M74" i="132"/>
  <c r="N74" i="132"/>
  <c r="O74" i="132"/>
  <c r="P74" i="132"/>
  <c r="E75" i="132"/>
  <c r="F75" i="132"/>
  <c r="G75" i="132"/>
  <c r="H75" i="132"/>
  <c r="I75" i="132"/>
  <c r="J75" i="132"/>
  <c r="K75" i="132"/>
  <c r="L75" i="132"/>
  <c r="M75" i="132"/>
  <c r="N75" i="132"/>
  <c r="O75" i="132"/>
  <c r="P75" i="132"/>
  <c r="E76" i="132"/>
  <c r="F76" i="132"/>
  <c r="G76" i="132"/>
  <c r="H76" i="132"/>
  <c r="I76" i="132"/>
  <c r="J76" i="132"/>
  <c r="K76" i="132"/>
  <c r="L76" i="132"/>
  <c r="M76" i="132"/>
  <c r="N76" i="132"/>
  <c r="O76" i="132"/>
  <c r="P76" i="132"/>
  <c r="E77" i="132"/>
  <c r="F77" i="132"/>
  <c r="G77" i="132"/>
  <c r="H77" i="132"/>
  <c r="I77" i="132"/>
  <c r="J77" i="132"/>
  <c r="K77" i="132"/>
  <c r="L77" i="132"/>
  <c r="M77" i="132"/>
  <c r="N77" i="132"/>
  <c r="O77" i="132"/>
  <c r="P77" i="132"/>
  <c r="E78" i="132"/>
  <c r="F78" i="132"/>
  <c r="G78" i="132"/>
  <c r="H78" i="132"/>
  <c r="I78" i="132"/>
  <c r="J78" i="132"/>
  <c r="K78" i="132"/>
  <c r="L78" i="132"/>
  <c r="M78" i="132"/>
  <c r="N78" i="132"/>
  <c r="O78" i="132"/>
  <c r="P78" i="132"/>
  <c r="E79" i="132"/>
  <c r="F79" i="132"/>
  <c r="G79" i="132"/>
  <c r="H79" i="132"/>
  <c r="I79" i="132"/>
  <c r="J79" i="132"/>
  <c r="K79" i="132"/>
  <c r="L79" i="132"/>
  <c r="M79" i="132"/>
  <c r="N79" i="132"/>
  <c r="O79" i="132"/>
  <c r="P79" i="132"/>
  <c r="E80" i="132"/>
  <c r="F80" i="132"/>
  <c r="G80" i="132"/>
  <c r="H80" i="132"/>
  <c r="I80" i="132"/>
  <c r="J80" i="132"/>
  <c r="K80" i="132"/>
  <c r="L80" i="132"/>
  <c r="M80" i="132"/>
  <c r="N80" i="132"/>
  <c r="O80" i="132"/>
  <c r="P80" i="132"/>
  <c r="E81" i="132"/>
  <c r="F81" i="132"/>
  <c r="G81" i="132"/>
  <c r="H81" i="132"/>
  <c r="I81" i="132"/>
  <c r="J81" i="132"/>
  <c r="K81" i="132"/>
  <c r="L81" i="132"/>
  <c r="M81" i="132"/>
  <c r="N81" i="132"/>
  <c r="O81" i="132"/>
  <c r="P81" i="132"/>
  <c r="E82" i="132"/>
  <c r="F82" i="132"/>
  <c r="G82" i="132"/>
  <c r="H82" i="132"/>
  <c r="I82" i="132"/>
  <c r="J82" i="132"/>
  <c r="K82" i="132"/>
  <c r="L82" i="132"/>
  <c r="M82" i="132"/>
  <c r="N82" i="132"/>
  <c r="O82" i="132"/>
  <c r="P82" i="132"/>
  <c r="E83" i="132"/>
  <c r="F83" i="132"/>
  <c r="G83" i="132"/>
  <c r="H83" i="132"/>
  <c r="I83" i="132"/>
  <c r="J83" i="132"/>
  <c r="K83" i="132"/>
  <c r="L83" i="132"/>
  <c r="M83" i="132"/>
  <c r="N83" i="132"/>
  <c r="O83" i="132"/>
  <c r="P83" i="132"/>
  <c r="E84" i="132"/>
  <c r="F84" i="132"/>
  <c r="G84" i="132"/>
  <c r="H84" i="132"/>
  <c r="I84" i="132"/>
  <c r="J84" i="132"/>
  <c r="K84" i="132"/>
  <c r="L84" i="132"/>
  <c r="M84" i="132"/>
  <c r="N84" i="132"/>
  <c r="O84" i="132"/>
  <c r="P84" i="132"/>
  <c r="E85" i="132"/>
  <c r="F85" i="132"/>
  <c r="G85" i="132"/>
  <c r="H85" i="132"/>
  <c r="I85" i="132"/>
  <c r="J85" i="132"/>
  <c r="K85" i="132"/>
  <c r="L85" i="132"/>
  <c r="M85" i="132"/>
  <c r="N85" i="132"/>
  <c r="O85" i="132"/>
  <c r="P85" i="132"/>
  <c r="E86" i="132"/>
  <c r="F86" i="132"/>
  <c r="G86" i="132"/>
  <c r="H86" i="132"/>
  <c r="I86" i="132"/>
  <c r="J86" i="132"/>
  <c r="K86" i="132"/>
  <c r="L86" i="132"/>
  <c r="M86" i="132"/>
  <c r="N86" i="132"/>
  <c r="O86" i="132"/>
  <c r="P86" i="132"/>
  <c r="E87" i="132"/>
  <c r="F87" i="132"/>
  <c r="G87" i="132"/>
  <c r="H87" i="132"/>
  <c r="I87" i="132"/>
  <c r="J87" i="132"/>
  <c r="K87" i="132"/>
  <c r="L87" i="132"/>
  <c r="M87" i="132"/>
  <c r="N87" i="132"/>
  <c r="O87" i="132"/>
  <c r="P87" i="132"/>
  <c r="E88" i="132"/>
  <c r="F88" i="132"/>
  <c r="G88" i="132"/>
  <c r="H88" i="132"/>
  <c r="I88" i="132"/>
  <c r="J88" i="132"/>
  <c r="K88" i="132"/>
  <c r="L88" i="132"/>
  <c r="M88" i="132"/>
  <c r="N88" i="132"/>
  <c r="O88" i="132"/>
  <c r="P88" i="132"/>
  <c r="E89" i="132"/>
  <c r="F89" i="132"/>
  <c r="G89" i="132"/>
  <c r="H89" i="132"/>
  <c r="I89" i="132"/>
  <c r="J89" i="132"/>
  <c r="K89" i="132"/>
  <c r="L89" i="132"/>
  <c r="M89" i="132"/>
  <c r="N89" i="132"/>
  <c r="O89" i="132"/>
  <c r="P89" i="132"/>
  <c r="E90" i="132"/>
  <c r="F90" i="132"/>
  <c r="G90" i="132"/>
  <c r="H90" i="132"/>
  <c r="I90" i="132"/>
  <c r="J90" i="132"/>
  <c r="K90" i="132"/>
  <c r="L90" i="132"/>
  <c r="M90" i="132"/>
  <c r="N90" i="132"/>
  <c r="O90" i="132"/>
  <c r="P90" i="132"/>
  <c r="E92" i="132"/>
  <c r="F92" i="132"/>
  <c r="G92" i="132"/>
  <c r="H92" i="132"/>
  <c r="I92" i="132"/>
  <c r="J92" i="132"/>
  <c r="K92" i="132"/>
  <c r="L92" i="132"/>
  <c r="M92" i="132"/>
  <c r="N92" i="132"/>
  <c r="O92" i="132"/>
  <c r="P92" i="132"/>
  <c r="E93" i="132"/>
  <c r="F93" i="132"/>
  <c r="G93" i="132"/>
  <c r="H93" i="132"/>
  <c r="I93" i="132"/>
  <c r="J93" i="132"/>
  <c r="K93" i="132"/>
  <c r="L93" i="132"/>
  <c r="M93" i="132"/>
  <c r="N93" i="132"/>
  <c r="O93" i="132"/>
  <c r="P93" i="132"/>
  <c r="E94" i="132"/>
  <c r="F94" i="132"/>
  <c r="G94" i="132"/>
  <c r="H94" i="132"/>
  <c r="I94" i="132"/>
  <c r="J94" i="132"/>
  <c r="K94" i="132"/>
  <c r="L94" i="132"/>
  <c r="M94" i="132"/>
  <c r="N94" i="132"/>
  <c r="O94" i="132"/>
  <c r="P94" i="132"/>
  <c r="E95" i="132"/>
  <c r="F95" i="132"/>
  <c r="G95" i="132"/>
  <c r="H95" i="132"/>
  <c r="I95" i="132"/>
  <c r="J95" i="132"/>
  <c r="K95" i="132"/>
  <c r="L95" i="132"/>
  <c r="M95" i="132"/>
  <c r="N95" i="132"/>
  <c r="O95" i="132"/>
  <c r="P95" i="132"/>
  <c r="E96" i="132"/>
  <c r="F96" i="132"/>
  <c r="H96" i="132"/>
  <c r="I96" i="132"/>
  <c r="J96" i="132"/>
  <c r="K96" i="132"/>
  <c r="L96" i="132"/>
  <c r="M96" i="132"/>
  <c r="N96" i="132"/>
  <c r="O96" i="132"/>
  <c r="P96" i="132"/>
  <c r="E97" i="132"/>
  <c r="F97" i="132"/>
  <c r="G97" i="132"/>
  <c r="H97" i="132"/>
  <c r="I97" i="132"/>
  <c r="J97" i="132"/>
  <c r="K97" i="132"/>
  <c r="L97" i="132"/>
  <c r="M97" i="132"/>
  <c r="N97" i="132"/>
  <c r="O97" i="132"/>
  <c r="P97" i="132"/>
  <c r="E98" i="132"/>
  <c r="E100" i="132"/>
  <c r="F100" i="132"/>
  <c r="G100" i="132"/>
  <c r="H100" i="132"/>
  <c r="I100" i="132"/>
  <c r="J100" i="132"/>
  <c r="K100" i="132"/>
  <c r="L100" i="132"/>
  <c r="M100" i="132"/>
  <c r="N100" i="132"/>
  <c r="O100" i="132"/>
  <c r="P100" i="132"/>
  <c r="E101" i="132"/>
  <c r="F101" i="132"/>
  <c r="G101" i="132"/>
  <c r="H101" i="132"/>
  <c r="I101" i="132"/>
  <c r="J101" i="132"/>
  <c r="K101" i="132"/>
  <c r="L101" i="132"/>
  <c r="M101" i="132"/>
  <c r="N101" i="132"/>
  <c r="O101" i="132"/>
  <c r="P101" i="132"/>
  <c r="E102" i="132"/>
  <c r="F102" i="132"/>
  <c r="G102" i="132"/>
  <c r="H102" i="132"/>
  <c r="I102" i="132"/>
  <c r="J102" i="132"/>
  <c r="K102" i="132"/>
  <c r="L102" i="132"/>
  <c r="M102" i="132"/>
  <c r="N102" i="132"/>
  <c r="O102" i="132"/>
  <c r="P102" i="132"/>
  <c r="F36" i="132"/>
  <c r="G36" i="132"/>
  <c r="H36" i="132"/>
  <c r="I36" i="132"/>
  <c r="J36" i="132"/>
  <c r="K36" i="132"/>
  <c r="L36" i="132"/>
  <c r="M36" i="132"/>
  <c r="N36" i="132"/>
  <c r="O36" i="132"/>
  <c r="P36" i="132"/>
  <c r="Q36" i="153" l="1"/>
  <c r="Q37" i="153"/>
  <c r="Q38" i="153"/>
  <c r="Q39" i="153"/>
  <c r="Q40" i="153"/>
  <c r="Q41" i="153"/>
  <c r="Q42" i="153"/>
  <c r="Q43" i="153"/>
  <c r="Q44" i="153"/>
  <c r="Q45" i="153"/>
  <c r="Q46" i="153"/>
  <c r="Q47" i="153"/>
  <c r="Q48" i="153"/>
  <c r="Q49" i="153"/>
  <c r="Q50" i="153"/>
  <c r="Q51" i="153"/>
  <c r="Q52" i="153"/>
  <c r="Q53" i="153"/>
  <c r="Q54" i="153"/>
  <c r="Q55" i="153"/>
  <c r="Q56" i="153"/>
  <c r="Q57" i="153"/>
  <c r="Q58" i="153"/>
  <c r="Q59" i="153"/>
  <c r="Q60" i="153"/>
  <c r="Q61" i="153"/>
  <c r="Q62" i="153"/>
  <c r="Q63" i="153"/>
  <c r="Q64" i="153"/>
  <c r="Q65" i="153"/>
  <c r="Q66" i="153"/>
  <c r="Q67" i="153"/>
  <c r="Q68" i="153"/>
  <c r="Q69" i="153"/>
  <c r="Q70" i="153"/>
  <c r="Q71" i="153"/>
  <c r="Q72" i="153"/>
  <c r="Q73" i="153"/>
  <c r="Q74" i="153"/>
  <c r="Q75" i="153"/>
  <c r="Q76" i="153"/>
  <c r="Q77" i="153"/>
  <c r="Q78" i="153"/>
  <c r="Q79" i="153"/>
  <c r="Q80" i="153"/>
  <c r="Q81" i="153"/>
  <c r="Q82" i="153"/>
  <c r="Q83" i="153"/>
  <c r="Q84" i="153"/>
  <c r="Q85" i="153"/>
  <c r="Q86" i="153"/>
  <c r="Q87" i="153"/>
  <c r="Q88" i="153"/>
  <c r="Q89" i="153"/>
  <c r="Q90" i="153"/>
  <c r="Q91" i="153"/>
  <c r="Q92" i="153"/>
  <c r="Q93" i="153"/>
  <c r="Q94" i="153"/>
  <c r="Q95" i="153"/>
  <c r="Q96" i="153"/>
  <c r="Q97" i="153"/>
  <c r="Q98" i="153"/>
  <c r="Q99" i="153"/>
  <c r="Q100" i="153"/>
  <c r="Q101" i="153"/>
  <c r="Q102" i="153"/>
  <c r="Q103" i="153"/>
  <c r="Q104" i="153"/>
  <c r="Q105" i="153"/>
  <c r="Q106" i="153"/>
  <c r="Q107" i="153"/>
  <c r="Q108" i="153"/>
  <c r="Q109" i="153"/>
  <c r="Q110" i="153"/>
  <c r="Q111" i="153"/>
  <c r="Q112" i="153"/>
  <c r="Q113" i="153"/>
  <c r="Q114" i="153"/>
  <c r="Q115" i="153"/>
  <c r="Q116" i="153"/>
  <c r="Q117" i="153"/>
  <c r="Q118" i="153"/>
  <c r="Q119" i="153"/>
  <c r="Q120" i="153"/>
  <c r="Q121" i="153"/>
  <c r="Q122" i="153"/>
  <c r="Q123" i="153"/>
  <c r="Q124" i="153"/>
  <c r="Q125" i="153"/>
  <c r="Q126" i="153"/>
  <c r="Q127" i="153"/>
  <c r="Q128" i="153"/>
  <c r="Q129" i="153"/>
  <c r="Q130" i="153"/>
  <c r="Q131" i="153"/>
  <c r="Q132" i="153"/>
  <c r="Q133" i="153"/>
  <c r="Q134" i="153"/>
  <c r="Q135" i="153"/>
  <c r="Q136" i="153"/>
  <c r="Q137" i="153"/>
  <c r="Q138" i="153"/>
  <c r="Q139" i="153"/>
  <c r="Q140" i="153"/>
  <c r="Q141" i="153"/>
  <c r="Q142" i="153"/>
  <c r="Q143" i="153"/>
  <c r="Q144" i="153"/>
  <c r="Q145" i="153"/>
  <c r="Q146" i="153"/>
  <c r="Q147" i="153"/>
  <c r="Q148" i="153"/>
  <c r="Q149" i="153"/>
  <c r="Q150" i="153"/>
  <c r="Q151" i="153"/>
  <c r="Q152" i="153"/>
  <c r="Q153" i="153"/>
  <c r="Q154" i="153"/>
  <c r="Q155" i="153"/>
  <c r="Q156" i="153"/>
  <c r="Q36" i="130"/>
  <c r="Q37" i="130"/>
  <c r="Q38" i="130"/>
  <c r="Q39" i="130"/>
  <c r="Q40" i="130"/>
  <c r="Q41" i="130"/>
  <c r="Q42" i="130"/>
  <c r="Q43" i="130"/>
  <c r="Q19" i="130"/>
  <c r="Q20" i="130"/>
  <c r="Q21" i="130"/>
  <c r="Q22" i="130"/>
  <c r="Q23" i="130"/>
  <c r="Q24" i="130"/>
  <c r="Q25" i="130"/>
  <c r="Q26" i="130"/>
  <c r="Q27" i="130"/>
  <c r="Q28" i="130"/>
  <c r="Q29" i="130"/>
  <c r="Q30" i="130"/>
  <c r="E30" i="132" l="1"/>
  <c r="F30" i="132"/>
  <c r="G30" i="132"/>
  <c r="M30" i="132"/>
  <c r="O30" i="132"/>
  <c r="F25" i="122"/>
  <c r="F32" i="122" s="1"/>
  <c r="K30" i="132" l="1"/>
  <c r="I30" i="132"/>
  <c r="P30" i="132"/>
  <c r="L30" i="132"/>
  <c r="H30" i="132"/>
  <c r="N30" i="132"/>
  <c r="J30" i="132"/>
  <c r="E192" i="153"/>
  <c r="E183" i="153"/>
  <c r="E173" i="153"/>
  <c r="E164" i="153"/>
  <c r="E193" i="93"/>
  <c r="E184" i="93"/>
  <c r="E174" i="93"/>
  <c r="E165" i="93"/>
  <c r="E194" i="90"/>
  <c r="E185" i="90"/>
  <c r="E175" i="90"/>
  <c r="E166" i="90"/>
  <c r="E194" i="143"/>
  <c r="E185" i="143"/>
  <c r="E175" i="143"/>
  <c r="E166" i="143"/>
  <c r="E194" i="142"/>
  <c r="E185" i="142"/>
  <c r="E175" i="142"/>
  <c r="E166" i="142"/>
  <c r="E195" i="141"/>
  <c r="E185" i="141"/>
  <c r="E175" i="141"/>
  <c r="E166" i="141"/>
  <c r="E194" i="140"/>
  <c r="E185" i="140"/>
  <c r="Q114" i="132" l="1"/>
  <c r="Q111" i="132"/>
  <c r="R94" i="130" s="1"/>
  <c r="E195" i="142"/>
  <c r="E12" i="142" s="1"/>
  <c r="E195" i="90"/>
  <c r="E196" i="141"/>
  <c r="E12" i="141" s="1"/>
  <c r="E194" i="93"/>
  <c r="E195" i="143"/>
  <c r="E193" i="153"/>
  <c r="E166" i="140"/>
  <c r="E175" i="140"/>
  <c r="E194" i="139"/>
  <c r="E185" i="139"/>
  <c r="E175" i="139"/>
  <c r="E166" i="139"/>
  <c r="E92" i="147"/>
  <c r="E101" i="147"/>
  <c r="E111" i="147"/>
  <c r="E121" i="147"/>
  <c r="E92" i="148"/>
  <c r="E102" i="148"/>
  <c r="E112" i="148"/>
  <c r="E122" i="148"/>
  <c r="E163" i="121"/>
  <c r="E154" i="121"/>
  <c r="E144" i="121"/>
  <c r="E117" i="122"/>
  <c r="E120" i="122"/>
  <c r="E121" i="122"/>
  <c r="E122" i="122"/>
  <c r="E123" i="122"/>
  <c r="E124" i="122"/>
  <c r="E134" i="122"/>
  <c r="E153" i="122"/>
  <c r="E162" i="122"/>
  <c r="E17" i="122"/>
  <c r="E31" i="122" s="1"/>
  <c r="E25" i="122"/>
  <c r="E32" i="122" s="1"/>
  <c r="E116" i="130"/>
  <c r="E107" i="130"/>
  <c r="E97" i="130"/>
  <c r="E59" i="122" l="1"/>
  <c r="E46" i="122"/>
  <c r="E77" i="122"/>
  <c r="E54" i="122"/>
  <c r="R95" i="127"/>
  <c r="R94" i="127"/>
  <c r="R132" i="132"/>
  <c r="R42" i="127"/>
  <c r="R55" i="127"/>
  <c r="R95" i="130"/>
  <c r="R133" i="132"/>
  <c r="E34" i="122"/>
  <c r="E27" i="122"/>
  <c r="E28" i="122" s="1"/>
  <c r="E125" i="122"/>
  <c r="E195" i="140"/>
  <c r="E195" i="139"/>
  <c r="E122" i="147"/>
  <c r="E123" i="148"/>
  <c r="E163" i="122"/>
  <c r="E36" i="122" s="1"/>
  <c r="E130" i="147" l="1"/>
  <c r="Q7" i="132"/>
  <c r="Q94" i="141" l="1"/>
  <c r="Q12" i="127" l="1"/>
  <c r="P185" i="143"/>
  <c r="O185" i="143"/>
  <c r="N185" i="143"/>
  <c r="M185" i="143"/>
  <c r="L185" i="143"/>
  <c r="K185" i="143"/>
  <c r="J185" i="143"/>
  <c r="I185" i="143"/>
  <c r="H185" i="143"/>
  <c r="G185" i="143"/>
  <c r="F185" i="143"/>
  <c r="P175" i="143"/>
  <c r="O175" i="143"/>
  <c r="N175" i="143"/>
  <c r="M175" i="143"/>
  <c r="L175" i="143"/>
  <c r="K175" i="143"/>
  <c r="J175" i="143"/>
  <c r="I175" i="143"/>
  <c r="H175" i="143"/>
  <c r="G175" i="143"/>
  <c r="F175" i="143"/>
  <c r="P166" i="143"/>
  <c r="O166" i="143"/>
  <c r="N166" i="143"/>
  <c r="M166" i="143"/>
  <c r="L166" i="143"/>
  <c r="K166" i="143"/>
  <c r="J166" i="143"/>
  <c r="I166" i="143"/>
  <c r="H166" i="143"/>
  <c r="G166" i="143"/>
  <c r="F166" i="143"/>
  <c r="P185" i="142"/>
  <c r="O185" i="142"/>
  <c r="N185" i="142"/>
  <c r="M185" i="142"/>
  <c r="L185" i="142"/>
  <c r="K185" i="142"/>
  <c r="J185" i="142"/>
  <c r="I185" i="142"/>
  <c r="H185" i="142"/>
  <c r="G185" i="142"/>
  <c r="F185" i="142"/>
  <c r="P175" i="142"/>
  <c r="O175" i="142"/>
  <c r="N175" i="142"/>
  <c r="M175" i="142"/>
  <c r="L175" i="142"/>
  <c r="K175" i="142"/>
  <c r="J175" i="142"/>
  <c r="I175" i="142"/>
  <c r="H175" i="142"/>
  <c r="G175" i="142"/>
  <c r="F175" i="142"/>
  <c r="P166" i="142"/>
  <c r="O166" i="142"/>
  <c r="N166" i="142"/>
  <c r="M166" i="142"/>
  <c r="L166" i="142"/>
  <c r="K166" i="142"/>
  <c r="J166" i="142"/>
  <c r="I166" i="142"/>
  <c r="H166" i="142"/>
  <c r="G166" i="142"/>
  <c r="F166" i="142"/>
  <c r="Q192" i="141"/>
  <c r="Q191" i="141"/>
  <c r="Q190" i="141"/>
  <c r="T190" i="141" s="1"/>
  <c r="Q189" i="141"/>
  <c r="Q188" i="141"/>
  <c r="T188" i="141" s="1"/>
  <c r="Q187" i="141"/>
  <c r="P185" i="141"/>
  <c r="O185" i="141"/>
  <c r="N185" i="141"/>
  <c r="M185" i="141"/>
  <c r="L185" i="141"/>
  <c r="K185" i="141"/>
  <c r="J185" i="141"/>
  <c r="I185" i="141"/>
  <c r="H185" i="141"/>
  <c r="G185" i="141"/>
  <c r="F185" i="141"/>
  <c r="Q184" i="141"/>
  <c r="Q183" i="141"/>
  <c r="T183" i="141" s="1"/>
  <c r="Q182" i="141"/>
  <c r="T182" i="141" s="1"/>
  <c r="Q181" i="141"/>
  <c r="T181" i="141" s="1"/>
  <c r="Q180" i="141"/>
  <c r="T180" i="141" s="1"/>
  <c r="Q179" i="141"/>
  <c r="T179" i="141" s="1"/>
  <c r="Q178" i="141"/>
  <c r="T178" i="141" s="1"/>
  <c r="Q177" i="141"/>
  <c r="P175" i="141"/>
  <c r="O175" i="141"/>
  <c r="N175" i="141"/>
  <c r="M175" i="141"/>
  <c r="L175" i="141"/>
  <c r="K175" i="141"/>
  <c r="J175" i="141"/>
  <c r="I175" i="141"/>
  <c r="H175" i="141"/>
  <c r="G175" i="141"/>
  <c r="F175" i="141"/>
  <c r="Q174" i="141"/>
  <c r="T174" i="141" s="1"/>
  <c r="Q173" i="141"/>
  <c r="Q171" i="141"/>
  <c r="Q170" i="141"/>
  <c r="T170" i="141" s="1"/>
  <c r="Q169" i="141"/>
  <c r="T169" i="141" s="1"/>
  <c r="Q168" i="141"/>
  <c r="T168" i="141" s="1"/>
  <c r="P166" i="141"/>
  <c r="O166" i="141"/>
  <c r="N166" i="141"/>
  <c r="M166" i="141"/>
  <c r="L166" i="141"/>
  <c r="K166" i="141"/>
  <c r="J166" i="141"/>
  <c r="I166" i="141"/>
  <c r="H166" i="141"/>
  <c r="G166" i="141"/>
  <c r="F166" i="141"/>
  <c r="Q165" i="141"/>
  <c r="Q164" i="141"/>
  <c r="Q157" i="141"/>
  <c r="Q156" i="141"/>
  <c r="T156" i="141" s="1"/>
  <c r="Q155" i="141"/>
  <c r="T155" i="141" s="1"/>
  <c r="Q154" i="141"/>
  <c r="T154" i="141" s="1"/>
  <c r="Q153" i="141"/>
  <c r="T153" i="141" s="1"/>
  <c r="Q152" i="141"/>
  <c r="T152" i="141" s="1"/>
  <c r="Q151" i="141"/>
  <c r="Q150" i="141"/>
  <c r="T150" i="141" s="1"/>
  <c r="Q149" i="141"/>
  <c r="Q148" i="141"/>
  <c r="T148" i="141" s="1"/>
  <c r="Q147" i="141"/>
  <c r="Q146" i="141"/>
  <c r="T146" i="141" s="1"/>
  <c r="Q145" i="141"/>
  <c r="T145" i="141" s="1"/>
  <c r="Q144" i="141"/>
  <c r="T144" i="141" s="1"/>
  <c r="Q143" i="141"/>
  <c r="Q142" i="141"/>
  <c r="T142" i="141" s="1"/>
  <c r="Q141" i="141"/>
  <c r="Q140" i="141"/>
  <c r="T140" i="141" s="1"/>
  <c r="Q139" i="141"/>
  <c r="T139" i="141" s="1"/>
  <c r="Q138" i="141"/>
  <c r="T138" i="141" s="1"/>
  <c r="Q137" i="141"/>
  <c r="T137" i="141" s="1"/>
  <c r="Q136" i="141"/>
  <c r="T136" i="141" s="1"/>
  <c r="Q135" i="141"/>
  <c r="Q134" i="141"/>
  <c r="T134" i="141" s="1"/>
  <c r="Q133" i="141"/>
  <c r="Q132" i="141"/>
  <c r="T132" i="141" s="1"/>
  <c r="Q131" i="141"/>
  <c r="T131" i="141" s="1"/>
  <c r="Q130" i="141"/>
  <c r="T130" i="141" s="1"/>
  <c r="Q129" i="141"/>
  <c r="T129" i="141" s="1"/>
  <c r="Q128" i="141"/>
  <c r="Q127" i="141"/>
  <c r="Q126" i="141"/>
  <c r="T126" i="141" s="1"/>
  <c r="Q125" i="141"/>
  <c r="Q124" i="141"/>
  <c r="T124" i="141" s="1"/>
  <c r="Q123" i="141"/>
  <c r="T123" i="141" s="1"/>
  <c r="Q122" i="141"/>
  <c r="T122" i="141" s="1"/>
  <c r="Q121" i="141"/>
  <c r="T121" i="141" s="1"/>
  <c r="Q120" i="141"/>
  <c r="Q119" i="141"/>
  <c r="Q118" i="141"/>
  <c r="T118" i="141" s="1"/>
  <c r="Q117" i="141"/>
  <c r="Q116" i="141"/>
  <c r="T116" i="141" s="1"/>
  <c r="Q115" i="141"/>
  <c r="T115" i="141" s="1"/>
  <c r="Q114" i="141"/>
  <c r="T114" i="141" s="1"/>
  <c r="Q113" i="141"/>
  <c r="T113" i="141" s="1"/>
  <c r="Q112" i="141"/>
  <c r="Q111" i="141"/>
  <c r="Q110" i="141"/>
  <c r="T110" i="141" s="1"/>
  <c r="Q109" i="141"/>
  <c r="Q108" i="141"/>
  <c r="T108" i="141" s="1"/>
  <c r="Q107" i="141"/>
  <c r="T107" i="141" s="1"/>
  <c r="Q106" i="141"/>
  <c r="T106" i="141" s="1"/>
  <c r="Q105" i="141"/>
  <c r="T105" i="141" s="1"/>
  <c r="Q104" i="141"/>
  <c r="Q103" i="141"/>
  <c r="T103" i="141" s="1"/>
  <c r="Q102" i="141"/>
  <c r="T102" i="141" s="1"/>
  <c r="Q101" i="141"/>
  <c r="Q100" i="141"/>
  <c r="T100" i="141" s="1"/>
  <c r="Q99" i="141"/>
  <c r="Q98" i="141"/>
  <c r="T98" i="141" s="1"/>
  <c r="Q97" i="141"/>
  <c r="T97" i="141" s="1"/>
  <c r="Q96" i="141"/>
  <c r="Q95" i="141"/>
  <c r="T95" i="141" s="1"/>
  <c r="T94" i="141"/>
  <c r="Q93" i="141"/>
  <c r="Q92" i="141"/>
  <c r="T92" i="141" s="1"/>
  <c r="Q91" i="141"/>
  <c r="T91" i="141" s="1"/>
  <c r="Q89" i="141"/>
  <c r="T89" i="141" s="1"/>
  <c r="Q88" i="141"/>
  <c r="Q87" i="141"/>
  <c r="Q86" i="141"/>
  <c r="T86" i="141" s="1"/>
  <c r="Q85" i="141"/>
  <c r="Q84" i="141"/>
  <c r="T84" i="141" s="1"/>
  <c r="Q83" i="141"/>
  <c r="T83" i="141" s="1"/>
  <c r="Q82" i="141"/>
  <c r="T82" i="141" s="1"/>
  <c r="Q81" i="141"/>
  <c r="T81" i="141" s="1"/>
  <c r="Q80" i="141"/>
  <c r="Q79" i="141"/>
  <c r="T79" i="141" s="1"/>
  <c r="Q78" i="141"/>
  <c r="T78" i="141" s="1"/>
  <c r="Q77" i="141"/>
  <c r="Q76" i="141"/>
  <c r="T76" i="141" s="1"/>
  <c r="Q75" i="141"/>
  <c r="T75" i="141" s="1"/>
  <c r="Q74" i="141"/>
  <c r="T74" i="141" s="1"/>
  <c r="Q73" i="141"/>
  <c r="T73" i="141" s="1"/>
  <c r="Q72" i="141"/>
  <c r="Q71" i="141"/>
  <c r="Q69" i="141"/>
  <c r="T69" i="141" s="1"/>
  <c r="Q68" i="141"/>
  <c r="Q67" i="141"/>
  <c r="T67" i="141" s="1"/>
  <c r="Q66" i="141"/>
  <c r="T66" i="141" s="1"/>
  <c r="Q65" i="141"/>
  <c r="Q64" i="141"/>
  <c r="T64" i="141" s="1"/>
  <c r="Q63" i="141"/>
  <c r="Q62" i="141"/>
  <c r="T62" i="141" s="1"/>
  <c r="Q61" i="141"/>
  <c r="T61" i="141" s="1"/>
  <c r="Q60" i="141"/>
  <c r="Q59" i="141"/>
  <c r="Q58" i="141"/>
  <c r="T58" i="141" s="1"/>
  <c r="Q57" i="141"/>
  <c r="Q56" i="141"/>
  <c r="T56" i="141" s="1"/>
  <c r="Q55" i="141"/>
  <c r="Q54" i="141"/>
  <c r="T54" i="141" s="1"/>
  <c r="Q53" i="141"/>
  <c r="T53" i="141" s="1"/>
  <c r="Q52" i="141"/>
  <c r="Q51" i="141"/>
  <c r="T51" i="141" s="1"/>
  <c r="Q50" i="141"/>
  <c r="T50" i="141" s="1"/>
  <c r="Q49" i="141"/>
  <c r="Q48" i="141"/>
  <c r="T48" i="141" s="1"/>
  <c r="Q47" i="141"/>
  <c r="T47" i="141" s="1"/>
  <c r="Q46" i="141"/>
  <c r="Q45" i="141"/>
  <c r="T45" i="141" s="1"/>
  <c r="Q44" i="141"/>
  <c r="Q42" i="141"/>
  <c r="Q41" i="141"/>
  <c r="T41" i="141" s="1"/>
  <c r="Q40" i="141"/>
  <c r="Q39" i="141"/>
  <c r="T39" i="141" s="1"/>
  <c r="Q38" i="141"/>
  <c r="T38" i="141" s="1"/>
  <c r="Q37" i="141"/>
  <c r="Q36" i="141"/>
  <c r="T36" i="141" s="1"/>
  <c r="Q35" i="141"/>
  <c r="T35" i="141" s="1"/>
  <c r="Q34" i="141"/>
  <c r="T34" i="141" s="1"/>
  <c r="Q33" i="141"/>
  <c r="T33" i="141" s="1"/>
  <c r="Q32" i="141"/>
  <c r="Q31" i="141"/>
  <c r="T31" i="141" s="1"/>
  <c r="Q30" i="141"/>
  <c r="T30" i="141" s="1"/>
  <c r="Q29" i="141"/>
  <c r="Q28" i="141"/>
  <c r="T28" i="141" s="1"/>
  <c r="Q27" i="141"/>
  <c r="T27" i="141" s="1"/>
  <c r="Q26" i="141"/>
  <c r="Q25" i="141"/>
  <c r="T25" i="141" s="1"/>
  <c r="Q24" i="141"/>
  <c r="Q23" i="141"/>
  <c r="T23" i="141" s="1"/>
  <c r="Q22" i="141"/>
  <c r="T22" i="141" s="1"/>
  <c r="Q21" i="141"/>
  <c r="Q20" i="141"/>
  <c r="T20" i="141" s="1"/>
  <c r="Q19" i="141"/>
  <c r="Q18" i="141"/>
  <c r="T18" i="141" s="1"/>
  <c r="Q17" i="141"/>
  <c r="T17" i="141" s="1"/>
  <c r="Q16" i="141"/>
  <c r="Q15" i="141"/>
  <c r="P185" i="140"/>
  <c r="O185" i="140"/>
  <c r="N185" i="140"/>
  <c r="M185" i="140"/>
  <c r="L185" i="140"/>
  <c r="K185" i="140"/>
  <c r="J185" i="140"/>
  <c r="I185" i="140"/>
  <c r="H185" i="140"/>
  <c r="G185" i="140"/>
  <c r="F185" i="140"/>
  <c r="P175" i="140"/>
  <c r="O175" i="140"/>
  <c r="N175" i="140"/>
  <c r="M175" i="140"/>
  <c r="L175" i="140"/>
  <c r="K175" i="140"/>
  <c r="J175" i="140"/>
  <c r="I175" i="140"/>
  <c r="H175" i="140"/>
  <c r="G175" i="140"/>
  <c r="F175" i="140"/>
  <c r="P166" i="140"/>
  <c r="O166" i="140"/>
  <c r="N166" i="140"/>
  <c r="M166" i="140"/>
  <c r="L166" i="140"/>
  <c r="K166" i="140"/>
  <c r="J166" i="140"/>
  <c r="I166" i="140"/>
  <c r="H166" i="140"/>
  <c r="G166" i="140"/>
  <c r="F166" i="140"/>
  <c r="P185" i="139"/>
  <c r="O185" i="139"/>
  <c r="N185" i="139"/>
  <c r="M185" i="139"/>
  <c r="L185" i="139"/>
  <c r="K185" i="139"/>
  <c r="J185" i="139"/>
  <c r="I185" i="139"/>
  <c r="H185" i="139"/>
  <c r="G185" i="139"/>
  <c r="H166" i="139"/>
  <c r="H175" i="139" s="1"/>
  <c r="G166" i="139"/>
  <c r="G175" i="139" s="1"/>
  <c r="P166" i="139"/>
  <c r="O166" i="139"/>
  <c r="N166" i="139"/>
  <c r="M166" i="139"/>
  <c r="L166" i="139"/>
  <c r="K166" i="139"/>
  <c r="J166" i="139"/>
  <c r="I166" i="139"/>
  <c r="P125" i="135"/>
  <c r="O125" i="135"/>
  <c r="N125" i="135"/>
  <c r="M125" i="135"/>
  <c r="L125" i="135"/>
  <c r="K125" i="135"/>
  <c r="J125" i="135"/>
  <c r="I125" i="135"/>
  <c r="H125" i="135"/>
  <c r="G125" i="135"/>
  <c r="F125" i="135"/>
  <c r="E125" i="135"/>
  <c r="P115" i="135"/>
  <c r="O115" i="135"/>
  <c r="N115" i="135"/>
  <c r="M115" i="135"/>
  <c r="L115" i="135"/>
  <c r="K115" i="135"/>
  <c r="J115" i="135"/>
  <c r="I115" i="135"/>
  <c r="H115" i="135"/>
  <c r="G115" i="135"/>
  <c r="E115" i="135"/>
  <c r="F115" i="135"/>
  <c r="P106" i="135"/>
  <c r="O106" i="135"/>
  <c r="N106" i="135"/>
  <c r="M106" i="135"/>
  <c r="L106" i="135"/>
  <c r="K106" i="135"/>
  <c r="J106" i="135"/>
  <c r="I106" i="135"/>
  <c r="H106" i="135"/>
  <c r="G106" i="135"/>
  <c r="F106" i="135"/>
  <c r="E106" i="135"/>
  <c r="P112" i="148"/>
  <c r="O112" i="148"/>
  <c r="N112" i="148"/>
  <c r="M112" i="148"/>
  <c r="L112" i="148"/>
  <c r="K112" i="148"/>
  <c r="J112" i="148"/>
  <c r="I112" i="148"/>
  <c r="H112" i="148"/>
  <c r="G112" i="148"/>
  <c r="F112" i="148"/>
  <c r="P102" i="148"/>
  <c r="O102" i="148"/>
  <c r="N102" i="148"/>
  <c r="M102" i="148"/>
  <c r="L102" i="148"/>
  <c r="K102" i="148"/>
  <c r="J102" i="148"/>
  <c r="I102" i="148"/>
  <c r="H102" i="148"/>
  <c r="G102" i="148"/>
  <c r="F102" i="148"/>
  <c r="P92" i="148"/>
  <c r="O92" i="148"/>
  <c r="N92" i="148"/>
  <c r="M92" i="148"/>
  <c r="L92" i="148"/>
  <c r="K92" i="148"/>
  <c r="J92" i="148"/>
  <c r="I92" i="148"/>
  <c r="H92" i="148"/>
  <c r="G92" i="148"/>
  <c r="F92" i="148"/>
  <c r="P107" i="130"/>
  <c r="O107" i="130"/>
  <c r="N107" i="130"/>
  <c r="M107" i="130"/>
  <c r="L107" i="130"/>
  <c r="K107" i="130"/>
  <c r="J107" i="130"/>
  <c r="I107" i="130"/>
  <c r="H107" i="130"/>
  <c r="G107" i="130"/>
  <c r="F107" i="130"/>
  <c r="P97" i="130"/>
  <c r="O97" i="130"/>
  <c r="N97" i="130"/>
  <c r="M97" i="130"/>
  <c r="L97" i="130"/>
  <c r="K97" i="130"/>
  <c r="J97" i="130"/>
  <c r="I97" i="130"/>
  <c r="H97" i="130"/>
  <c r="G97" i="130"/>
  <c r="F97" i="130"/>
  <c r="P88" i="130"/>
  <c r="O88" i="130"/>
  <c r="N88" i="130"/>
  <c r="M88" i="130"/>
  <c r="L88" i="130"/>
  <c r="K88" i="130"/>
  <c r="J88" i="130"/>
  <c r="I88" i="130"/>
  <c r="H88" i="130"/>
  <c r="G88" i="130"/>
  <c r="F88" i="130"/>
  <c r="E88" i="130"/>
  <c r="E117" i="130" s="1"/>
  <c r="E88" i="127"/>
  <c r="F88" i="127"/>
  <c r="G88" i="127"/>
  <c r="H88" i="127"/>
  <c r="I88" i="127"/>
  <c r="J88" i="127"/>
  <c r="K88" i="127"/>
  <c r="L88" i="127"/>
  <c r="M88" i="127"/>
  <c r="N88" i="127"/>
  <c r="O88" i="127"/>
  <c r="P88" i="127"/>
  <c r="E107" i="127"/>
  <c r="F107" i="127"/>
  <c r="G107" i="127"/>
  <c r="H107" i="127"/>
  <c r="I107" i="127"/>
  <c r="J107" i="127"/>
  <c r="K107" i="127"/>
  <c r="L107" i="127"/>
  <c r="M107" i="127"/>
  <c r="N107" i="127"/>
  <c r="O107" i="127"/>
  <c r="P107" i="127"/>
  <c r="K195" i="141" l="1"/>
  <c r="K196" i="141" s="1"/>
  <c r="K12" i="141" s="1"/>
  <c r="N195" i="141"/>
  <c r="N196" i="141" s="1"/>
  <c r="N12" i="141" s="1"/>
  <c r="G195" i="141"/>
  <c r="G196" i="141" s="1"/>
  <c r="G12" i="141" s="1"/>
  <c r="O195" i="141"/>
  <c r="O196" i="141" s="1"/>
  <c r="O12" i="141" s="1"/>
  <c r="H195" i="141"/>
  <c r="H196" i="141" s="1"/>
  <c r="H12" i="141" s="1"/>
  <c r="P195" i="141"/>
  <c r="P196" i="141" s="1"/>
  <c r="P12" i="141" s="1"/>
  <c r="I195" i="141"/>
  <c r="I196" i="141" s="1"/>
  <c r="I12" i="141" s="1"/>
  <c r="J195" i="141"/>
  <c r="J196" i="141" s="1"/>
  <c r="J12" i="141" s="1"/>
  <c r="L195" i="141"/>
  <c r="L196" i="141" s="1"/>
  <c r="L12" i="141" s="1"/>
  <c r="M195" i="141"/>
  <c r="M196" i="141" s="1"/>
  <c r="M12" i="141" s="1"/>
  <c r="K175" i="139"/>
  <c r="O175" i="139"/>
  <c r="P175" i="139"/>
  <c r="J175" i="139"/>
  <c r="M175" i="139"/>
  <c r="N175" i="139"/>
  <c r="T119" i="141"/>
  <c r="T147" i="141"/>
  <c r="T165" i="141"/>
  <c r="Q185" i="141"/>
  <c r="T185" i="141" s="1"/>
  <c r="Q166" i="141"/>
  <c r="T16" i="141"/>
  <c r="T19" i="141"/>
  <c r="T55" i="141"/>
  <c r="T68" i="141"/>
  <c r="T111" i="141"/>
  <c r="T127" i="141"/>
  <c r="T15" i="141"/>
  <c r="T87" i="141"/>
  <c r="T63" i="141"/>
  <c r="L175" i="139"/>
  <c r="T112" i="141"/>
  <c r="T128" i="141"/>
  <c r="T187" i="141"/>
  <c r="T104" i="141"/>
  <c r="T120" i="141"/>
  <c r="I175" i="139"/>
  <c r="T99" i="141"/>
  <c r="T191" i="141"/>
  <c r="T192" i="141"/>
  <c r="T135" i="141"/>
  <c r="Q175" i="141"/>
  <c r="Q193" i="141"/>
  <c r="T72" i="141"/>
  <c r="T59" i="141"/>
  <c r="T46" i="141"/>
  <c r="T44" i="141"/>
  <c r="T71" i="141"/>
  <c r="T88" i="141"/>
  <c r="T151" i="141"/>
  <c r="T26" i="141"/>
  <c r="T42" i="141"/>
  <c r="T80" i="141"/>
  <c r="T143" i="141"/>
  <c r="T60" i="141"/>
  <c r="T52" i="141"/>
  <c r="T96" i="141"/>
  <c r="T24" i="141"/>
  <c r="T32" i="141"/>
  <c r="T40" i="141"/>
  <c r="Q198" i="141"/>
  <c r="T21" i="141"/>
  <c r="T29" i="141"/>
  <c r="T37" i="141"/>
  <c r="T49" i="141"/>
  <c r="T57" i="141"/>
  <c r="T65" i="141"/>
  <c r="T77" i="141"/>
  <c r="T85" i="141"/>
  <c r="T93" i="141"/>
  <c r="T101" i="141"/>
  <c r="T109" i="141"/>
  <c r="T117" i="141"/>
  <c r="T125" i="141"/>
  <c r="T133" i="141"/>
  <c r="T141" i="141"/>
  <c r="T149" i="141"/>
  <c r="T157" i="141"/>
  <c r="T184" i="141"/>
  <c r="T189" i="141"/>
  <c r="T177" i="141"/>
  <c r="F195" i="141"/>
  <c r="F196" i="141" s="1"/>
  <c r="F12" i="141" s="1"/>
  <c r="T164" i="141"/>
  <c r="T198" i="141" l="1"/>
  <c r="Q43" i="141"/>
  <c r="T43" i="141" s="1"/>
  <c r="T166" i="141"/>
  <c r="Q194" i="141"/>
  <c r="Q195" i="141" s="1"/>
  <c r="Q12" i="141"/>
  <c r="T193" i="141"/>
  <c r="T175" i="141"/>
  <c r="T195" i="141" l="1"/>
  <c r="Q196" i="141"/>
  <c r="T196" i="141" s="1"/>
  <c r="T194" i="141"/>
  <c r="T12" i="141"/>
  <c r="Q112" i="132"/>
  <c r="Q113" i="132"/>
  <c r="Q25" i="132"/>
  <c r="Q24" i="132"/>
  <c r="E116" i="132" l="1"/>
  <c r="Q14" i="132"/>
  <c r="Q13" i="132"/>
  <c r="Q16" i="132"/>
  <c r="Q94" i="132" l="1"/>
  <c r="Q118" i="135" l="1"/>
  <c r="Q119" i="135"/>
  <c r="Q120" i="135"/>
  <c r="Q121" i="135"/>
  <c r="Q122" i="135"/>
  <c r="Q123" i="135"/>
  <c r="Q117" i="135"/>
  <c r="Q109" i="135"/>
  <c r="Q110" i="135"/>
  <c r="Q113" i="135"/>
  <c r="Q114" i="135"/>
  <c r="E145" i="132" l="1"/>
  <c r="F145" i="132"/>
  <c r="G145" i="132"/>
  <c r="H145" i="132"/>
  <c r="I145" i="132"/>
  <c r="J145" i="132"/>
  <c r="K145" i="132"/>
  <c r="L145" i="132"/>
  <c r="M145" i="132"/>
  <c r="N145" i="132"/>
  <c r="O145" i="132"/>
  <c r="P145" i="132"/>
  <c r="E139" i="132" l="1"/>
  <c r="Q95" i="147"/>
  <c r="T123" i="135"/>
  <c r="Q184" i="90"/>
  <c r="V184" i="90" s="1"/>
  <c r="Q27" i="155"/>
  <c r="Q24" i="155"/>
  <c r="Q23" i="155"/>
  <c r="Q22" i="155"/>
  <c r="U22" i="155" s="1"/>
  <c r="Q21" i="155"/>
  <c r="U21" i="155" s="1"/>
  <c r="Q19" i="155"/>
  <c r="Q18" i="155"/>
  <c r="U18" i="155" s="1"/>
  <c r="Q17" i="155"/>
  <c r="U17" i="155" s="1"/>
  <c r="Q16" i="155"/>
  <c r="U16" i="155" s="1"/>
  <c r="D5" i="155"/>
  <c r="D4" i="155"/>
  <c r="Q186" i="154"/>
  <c r="U186" i="154" s="1"/>
  <c r="Q185" i="154"/>
  <c r="U185" i="154" s="1"/>
  <c r="Q184" i="154"/>
  <c r="U184" i="154" s="1"/>
  <c r="Q183" i="154"/>
  <c r="Q180" i="154"/>
  <c r="U180" i="154" s="1"/>
  <c r="Q179" i="154"/>
  <c r="U179" i="154" s="1"/>
  <c r="Q156" i="154"/>
  <c r="U156" i="154" s="1"/>
  <c r="Q155" i="154"/>
  <c r="U155" i="154" s="1"/>
  <c r="Q154" i="154"/>
  <c r="Q153" i="154"/>
  <c r="U153" i="154" s="1"/>
  <c r="Q152" i="154"/>
  <c r="U152" i="154" s="1"/>
  <c r="Q151" i="154"/>
  <c r="U151" i="154" s="1"/>
  <c r="Q150" i="154"/>
  <c r="Q149" i="154"/>
  <c r="U149" i="154" s="1"/>
  <c r="Q148" i="154"/>
  <c r="U148" i="154" s="1"/>
  <c r="Q147" i="154"/>
  <c r="U147" i="154" s="1"/>
  <c r="Q146" i="154"/>
  <c r="Q145" i="154"/>
  <c r="U145" i="154" s="1"/>
  <c r="Q144" i="154"/>
  <c r="U144" i="154" s="1"/>
  <c r="Q143" i="154"/>
  <c r="U143" i="154" s="1"/>
  <c r="Q142" i="154"/>
  <c r="Q141" i="154"/>
  <c r="U141" i="154" s="1"/>
  <c r="Q140" i="154"/>
  <c r="U140" i="154" s="1"/>
  <c r="Q139" i="154"/>
  <c r="U139" i="154" s="1"/>
  <c r="Q138" i="154"/>
  <c r="Q137" i="154"/>
  <c r="U137" i="154" s="1"/>
  <c r="Q136" i="154"/>
  <c r="U136" i="154" s="1"/>
  <c r="Q135" i="154"/>
  <c r="U135" i="154" s="1"/>
  <c r="Q134" i="154"/>
  <c r="Q133" i="154"/>
  <c r="U133" i="154" s="1"/>
  <c r="Q132" i="154"/>
  <c r="U132" i="154" s="1"/>
  <c r="Q131" i="154"/>
  <c r="U131" i="154" s="1"/>
  <c r="Q130" i="154"/>
  <c r="Q129" i="154"/>
  <c r="U129" i="154" s="1"/>
  <c r="Q128" i="154"/>
  <c r="U128" i="154" s="1"/>
  <c r="Q127" i="154"/>
  <c r="U127" i="154" s="1"/>
  <c r="Q126" i="154"/>
  <c r="Q125" i="154"/>
  <c r="U125" i="154" s="1"/>
  <c r="Q124" i="154"/>
  <c r="U124" i="154" s="1"/>
  <c r="Q123" i="154"/>
  <c r="U123" i="154" s="1"/>
  <c r="Q122" i="154"/>
  <c r="Q121" i="154"/>
  <c r="U121" i="154" s="1"/>
  <c r="Q120" i="154"/>
  <c r="Q119" i="154"/>
  <c r="U119" i="154" s="1"/>
  <c r="Q118" i="154"/>
  <c r="U118" i="154" s="1"/>
  <c r="Q117" i="154"/>
  <c r="Q116" i="154"/>
  <c r="U116" i="154" s="1"/>
  <c r="Q115" i="154"/>
  <c r="U115" i="154" s="1"/>
  <c r="Q114" i="154"/>
  <c r="U114" i="154" s="1"/>
  <c r="Q113" i="154"/>
  <c r="Q112" i="154"/>
  <c r="U112" i="154" s="1"/>
  <c r="Q111" i="154"/>
  <c r="U111" i="154" s="1"/>
  <c r="Q110" i="154"/>
  <c r="U110" i="154" s="1"/>
  <c r="Q109" i="154"/>
  <c r="Q108" i="154"/>
  <c r="U108" i="154" s="1"/>
  <c r="Q107" i="154"/>
  <c r="U107" i="154" s="1"/>
  <c r="Q106" i="154"/>
  <c r="U106" i="154" s="1"/>
  <c r="Q105" i="154"/>
  <c r="Q104" i="154"/>
  <c r="U104" i="154" s="1"/>
  <c r="Q103" i="154"/>
  <c r="U103" i="154" s="1"/>
  <c r="Q102" i="154"/>
  <c r="U102" i="154" s="1"/>
  <c r="Q101" i="154"/>
  <c r="Q100" i="154"/>
  <c r="U100" i="154" s="1"/>
  <c r="Q99" i="154"/>
  <c r="U99" i="154" s="1"/>
  <c r="Q98" i="154"/>
  <c r="U98" i="154" s="1"/>
  <c r="Q97" i="154"/>
  <c r="Q96" i="154"/>
  <c r="U96" i="154" s="1"/>
  <c r="Q95" i="154"/>
  <c r="U95" i="154" s="1"/>
  <c r="Q94" i="154"/>
  <c r="U94" i="154" s="1"/>
  <c r="Q93" i="154"/>
  <c r="Q92" i="154"/>
  <c r="U92" i="154" s="1"/>
  <c r="Q91" i="154"/>
  <c r="U91" i="154" s="1"/>
  <c r="Q90" i="154"/>
  <c r="U90" i="154" s="1"/>
  <c r="Q89" i="154"/>
  <c r="Q88" i="154"/>
  <c r="U88" i="154" s="1"/>
  <c r="Q87" i="154"/>
  <c r="U87" i="154" s="1"/>
  <c r="Q86" i="154"/>
  <c r="U86" i="154" s="1"/>
  <c r="Q85" i="154"/>
  <c r="Q84" i="154"/>
  <c r="U84" i="154" s="1"/>
  <c r="Q83" i="154"/>
  <c r="U83" i="154" s="1"/>
  <c r="Q82" i="154"/>
  <c r="U82" i="154" s="1"/>
  <c r="Q81" i="154"/>
  <c r="Q80" i="154"/>
  <c r="U80" i="154" s="1"/>
  <c r="Q79" i="154"/>
  <c r="U79" i="154" s="1"/>
  <c r="Q78" i="154"/>
  <c r="U78" i="154" s="1"/>
  <c r="Q77" i="154"/>
  <c r="Q76" i="154"/>
  <c r="U76" i="154" s="1"/>
  <c r="Q75" i="154"/>
  <c r="U75" i="154" s="1"/>
  <c r="Q74" i="154"/>
  <c r="U74" i="154" s="1"/>
  <c r="Q73" i="154"/>
  <c r="Q72" i="154"/>
  <c r="U72" i="154" s="1"/>
  <c r="Q71" i="154"/>
  <c r="U71" i="154" s="1"/>
  <c r="Q70" i="154"/>
  <c r="U70" i="154" s="1"/>
  <c r="Q69" i="154"/>
  <c r="Q68" i="154"/>
  <c r="U68" i="154" s="1"/>
  <c r="Q67" i="154"/>
  <c r="U67" i="154" s="1"/>
  <c r="Q66" i="154"/>
  <c r="U66" i="154" s="1"/>
  <c r="Q65" i="154"/>
  <c r="Q63" i="154"/>
  <c r="U63" i="154" s="1"/>
  <c r="Q62" i="154"/>
  <c r="U62" i="154" s="1"/>
  <c r="Q61" i="154"/>
  <c r="U61" i="154" s="1"/>
  <c r="Q60" i="154"/>
  <c r="Q59" i="154"/>
  <c r="U59" i="154" s="1"/>
  <c r="Q58" i="154"/>
  <c r="U58" i="154" s="1"/>
  <c r="Q57" i="154"/>
  <c r="U57" i="154" s="1"/>
  <c r="Q56" i="154"/>
  <c r="Q55" i="154"/>
  <c r="U55" i="154" s="1"/>
  <c r="Q54" i="154"/>
  <c r="U54" i="154" s="1"/>
  <c r="Q53" i="154"/>
  <c r="U53" i="154" s="1"/>
  <c r="Q52" i="154"/>
  <c r="Q51" i="154"/>
  <c r="U51" i="154" s="1"/>
  <c r="Q50" i="154"/>
  <c r="U50" i="154" s="1"/>
  <c r="Q49" i="154"/>
  <c r="U49" i="154" s="1"/>
  <c r="Q48" i="154"/>
  <c r="Q47" i="154"/>
  <c r="U47" i="154" s="1"/>
  <c r="Q46" i="154"/>
  <c r="U46" i="154" s="1"/>
  <c r="Q45" i="154"/>
  <c r="U45" i="154" s="1"/>
  <c r="Q44" i="154"/>
  <c r="Q43" i="154"/>
  <c r="U43" i="154" s="1"/>
  <c r="Q42" i="154"/>
  <c r="U42" i="154" s="1"/>
  <c r="Q41" i="154"/>
  <c r="U41" i="154" s="1"/>
  <c r="Q40" i="154"/>
  <c r="Q39" i="154"/>
  <c r="U39" i="154" s="1"/>
  <c r="Q38" i="154"/>
  <c r="U38" i="154" s="1"/>
  <c r="Q37" i="154"/>
  <c r="U37" i="154" s="1"/>
  <c r="Q36" i="154"/>
  <c r="Q35" i="154"/>
  <c r="U35" i="154" s="1"/>
  <c r="Q34" i="154"/>
  <c r="U34" i="154" s="1"/>
  <c r="Q33" i="154"/>
  <c r="U33" i="154" s="1"/>
  <c r="Q32" i="154"/>
  <c r="Q31" i="154"/>
  <c r="U31" i="154" s="1"/>
  <c r="Q30" i="154"/>
  <c r="U30" i="154" s="1"/>
  <c r="Q29" i="154"/>
  <c r="U29" i="154" s="1"/>
  <c r="Q28" i="154"/>
  <c r="Q27" i="154"/>
  <c r="U27" i="154" s="1"/>
  <c r="Q26" i="154"/>
  <c r="U26" i="154" s="1"/>
  <c r="Q25" i="154"/>
  <c r="U25" i="154" s="1"/>
  <c r="Q24" i="154"/>
  <c r="Q23" i="154"/>
  <c r="U23" i="154" s="1"/>
  <c r="Q22" i="154"/>
  <c r="U22" i="154" s="1"/>
  <c r="Q21" i="154"/>
  <c r="U21" i="154" s="1"/>
  <c r="Q20" i="154"/>
  <c r="U20" i="154" s="1"/>
  <c r="Q19" i="154"/>
  <c r="U19" i="154" s="1"/>
  <c r="Q18" i="154"/>
  <c r="U18" i="154" s="1"/>
  <c r="Q17" i="154"/>
  <c r="U17" i="154" s="1"/>
  <c r="Q16" i="154"/>
  <c r="U16" i="154" s="1"/>
  <c r="Q15" i="154"/>
  <c r="D5" i="154"/>
  <c r="D4" i="154"/>
  <c r="Q195" i="153"/>
  <c r="U195" i="153" s="1"/>
  <c r="Q191" i="153"/>
  <c r="Y164" i="154" s="1"/>
  <c r="AA164" i="154" s="1"/>
  <c r="Q190" i="153"/>
  <c r="Q189" i="153"/>
  <c r="Q188" i="153"/>
  <c r="Q187" i="153"/>
  <c r="Q186" i="153"/>
  <c r="Q185" i="153"/>
  <c r="Q182" i="153"/>
  <c r="Q181" i="153"/>
  <c r="Q180" i="153"/>
  <c r="Q179" i="153"/>
  <c r="Q178" i="153"/>
  <c r="Q177" i="153"/>
  <c r="Q176" i="153"/>
  <c r="Q175" i="153"/>
  <c r="Q172" i="153"/>
  <c r="Q171" i="153"/>
  <c r="Q167" i="153"/>
  <c r="Q163" i="153"/>
  <c r="Q162" i="153"/>
  <c r="Q34" i="153"/>
  <c r="Q33" i="153"/>
  <c r="Q32" i="153"/>
  <c r="Q31" i="153"/>
  <c r="Q30" i="153"/>
  <c r="Q29" i="153"/>
  <c r="Q28" i="153"/>
  <c r="Q27" i="153"/>
  <c r="Q26" i="153"/>
  <c r="Q25" i="153"/>
  <c r="Q24" i="153"/>
  <c r="Q23" i="153"/>
  <c r="Q21" i="153"/>
  <c r="Q20" i="153"/>
  <c r="Q19" i="153"/>
  <c r="Q18" i="153"/>
  <c r="Q17" i="153"/>
  <c r="Q16" i="153"/>
  <c r="Q15" i="153"/>
  <c r="D5" i="153"/>
  <c r="D4" i="153"/>
  <c r="U196" i="93"/>
  <c r="Q190" i="93"/>
  <c r="U190" i="93" s="1"/>
  <c r="Q189" i="93"/>
  <c r="U189" i="93" s="1"/>
  <c r="Q188" i="93"/>
  <c r="U188" i="93" s="1"/>
  <c r="Q187" i="93"/>
  <c r="U187" i="93" s="1"/>
  <c r="Q186" i="93"/>
  <c r="U186" i="93" s="1"/>
  <c r="Q172" i="93"/>
  <c r="U172" i="93" s="1"/>
  <c r="Q169" i="93"/>
  <c r="Q168" i="93"/>
  <c r="U168" i="93" s="1"/>
  <c r="U158" i="93"/>
  <c r="U157" i="93"/>
  <c r="U156" i="93"/>
  <c r="Q156" i="93"/>
  <c r="U155" i="93"/>
  <c r="Q155" i="93"/>
  <c r="U154" i="93"/>
  <c r="Q154" i="93"/>
  <c r="U153" i="93"/>
  <c r="Q153" i="93"/>
  <c r="U152" i="93"/>
  <c r="Q152" i="93"/>
  <c r="U151" i="93"/>
  <c r="Q151" i="93"/>
  <c r="U150" i="93"/>
  <c r="U149" i="93"/>
  <c r="Q149" i="93"/>
  <c r="U148" i="93"/>
  <c r="Q148" i="93"/>
  <c r="U147" i="93"/>
  <c r="Q147" i="93"/>
  <c r="U146" i="93"/>
  <c r="Q146" i="93"/>
  <c r="U145" i="93"/>
  <c r="U144" i="93"/>
  <c r="Q144" i="93"/>
  <c r="U143" i="93"/>
  <c r="Q143" i="93"/>
  <c r="U142" i="93"/>
  <c r="Q142" i="93"/>
  <c r="U141" i="93"/>
  <c r="Q141" i="93"/>
  <c r="U140" i="93"/>
  <c r="Q140" i="93"/>
  <c r="U139" i="93"/>
  <c r="Q139" i="93"/>
  <c r="U138" i="93"/>
  <c r="Q138" i="93"/>
  <c r="U137" i="93"/>
  <c r="Q137" i="93"/>
  <c r="U136" i="93"/>
  <c r="Q136" i="93"/>
  <c r="U135" i="93"/>
  <c r="Q135" i="93"/>
  <c r="U134" i="93"/>
  <c r="Q134" i="93"/>
  <c r="U133" i="93"/>
  <c r="Q133" i="93"/>
  <c r="U132" i="93"/>
  <c r="Q132" i="93"/>
  <c r="U131" i="93"/>
  <c r="Q131" i="93"/>
  <c r="U130" i="93"/>
  <c r="Q130" i="93"/>
  <c r="U129" i="93"/>
  <c r="Q129" i="93"/>
  <c r="U128" i="93"/>
  <c r="Q128" i="93"/>
  <c r="U127" i="93"/>
  <c r="Q127" i="93"/>
  <c r="U126" i="93"/>
  <c r="Q126" i="93"/>
  <c r="U125" i="93"/>
  <c r="Q125" i="93"/>
  <c r="U124" i="93"/>
  <c r="Q124" i="93"/>
  <c r="U123" i="93"/>
  <c r="Q123" i="93"/>
  <c r="U122" i="93"/>
  <c r="Q122" i="93"/>
  <c r="U121" i="93"/>
  <c r="Q121" i="93"/>
  <c r="U120" i="93"/>
  <c r="Q120" i="93"/>
  <c r="U119" i="93"/>
  <c r="Q119" i="93"/>
  <c r="U118" i="93"/>
  <c r="Q118" i="93"/>
  <c r="U117" i="93"/>
  <c r="Q117" i="93"/>
  <c r="U116" i="93"/>
  <c r="Q116" i="93"/>
  <c r="U115" i="93"/>
  <c r="Q115" i="93"/>
  <c r="U114" i="93"/>
  <c r="Q114" i="93"/>
  <c r="U113" i="93"/>
  <c r="Q113" i="93"/>
  <c r="U112" i="93"/>
  <c r="Q112" i="93"/>
  <c r="U111" i="93"/>
  <c r="Q111" i="93"/>
  <c r="U110" i="93"/>
  <c r="Q110" i="93"/>
  <c r="U109" i="93"/>
  <c r="Q109" i="93"/>
  <c r="U108" i="93"/>
  <c r="Q108" i="93"/>
  <c r="U107" i="93"/>
  <c r="Q107" i="93"/>
  <c r="U106" i="93"/>
  <c r="Q106" i="93"/>
  <c r="U105" i="93"/>
  <c r="Q105" i="93"/>
  <c r="U104" i="93"/>
  <c r="Q104" i="93"/>
  <c r="U103" i="93"/>
  <c r="Q103" i="93"/>
  <c r="U102" i="93"/>
  <c r="Q102" i="93"/>
  <c r="U101" i="93"/>
  <c r="Q101" i="93"/>
  <c r="U100" i="93"/>
  <c r="Q100" i="93"/>
  <c r="U99" i="93"/>
  <c r="Q99" i="93"/>
  <c r="U98" i="93"/>
  <c r="Q98" i="93"/>
  <c r="U97" i="93"/>
  <c r="Q97" i="93"/>
  <c r="U96" i="93"/>
  <c r="Q96" i="93"/>
  <c r="U95" i="93"/>
  <c r="Q95" i="93"/>
  <c r="U94" i="93"/>
  <c r="Q94" i="93"/>
  <c r="U93" i="93"/>
  <c r="Q93" i="93"/>
  <c r="U92" i="93"/>
  <c r="Q92" i="93"/>
  <c r="U91" i="93"/>
  <c r="Q91" i="93"/>
  <c r="U90" i="93"/>
  <c r="Q90" i="93"/>
  <c r="U89" i="93"/>
  <c r="Q89" i="93"/>
  <c r="U88" i="93"/>
  <c r="Q88" i="93"/>
  <c r="U87" i="93"/>
  <c r="Q87" i="93"/>
  <c r="U86" i="93"/>
  <c r="Q86" i="93"/>
  <c r="U85" i="93"/>
  <c r="Q85" i="93"/>
  <c r="U84" i="93"/>
  <c r="Q84" i="93"/>
  <c r="U83" i="93"/>
  <c r="Q83" i="93"/>
  <c r="U82" i="93"/>
  <c r="Q82" i="93"/>
  <c r="U81" i="93"/>
  <c r="Q81" i="93"/>
  <c r="U80" i="93"/>
  <c r="Q80" i="93"/>
  <c r="U79" i="93"/>
  <c r="Q79" i="93"/>
  <c r="U78" i="93"/>
  <c r="Q78" i="93"/>
  <c r="U77" i="93"/>
  <c r="Q77" i="93"/>
  <c r="U76" i="93"/>
  <c r="Q76" i="93"/>
  <c r="U75" i="93"/>
  <c r="Q75" i="93"/>
  <c r="U74" i="93"/>
  <c r="Q74" i="93"/>
  <c r="U73" i="93"/>
  <c r="Q73" i="93"/>
  <c r="U72" i="93"/>
  <c r="Q72" i="93"/>
  <c r="U71" i="93"/>
  <c r="Q71" i="93"/>
  <c r="U70" i="93"/>
  <c r="U69" i="93"/>
  <c r="Q69" i="93"/>
  <c r="U68" i="93"/>
  <c r="Q68" i="93"/>
  <c r="U67" i="93"/>
  <c r="Q67" i="93"/>
  <c r="U66" i="93"/>
  <c r="Q66" i="93"/>
  <c r="U65" i="93"/>
  <c r="Q65" i="93"/>
  <c r="U64" i="93"/>
  <c r="Q64" i="93"/>
  <c r="U63" i="93"/>
  <c r="Q63" i="93"/>
  <c r="U62" i="93"/>
  <c r="Q62" i="93"/>
  <c r="U61" i="93"/>
  <c r="Q61" i="93"/>
  <c r="U60" i="93"/>
  <c r="Q60" i="93"/>
  <c r="U59" i="93"/>
  <c r="Q59" i="93"/>
  <c r="U58" i="93"/>
  <c r="Q58" i="93"/>
  <c r="U57" i="93"/>
  <c r="Q57" i="93"/>
  <c r="U56" i="93"/>
  <c r="Q56" i="93"/>
  <c r="U55" i="93"/>
  <c r="Q55" i="93"/>
  <c r="U54" i="93"/>
  <c r="Q54" i="93"/>
  <c r="U53" i="93"/>
  <c r="Q53" i="93"/>
  <c r="U52" i="93"/>
  <c r="Q52" i="93"/>
  <c r="U51" i="93"/>
  <c r="Q51" i="93"/>
  <c r="U50" i="93"/>
  <c r="Q50" i="93"/>
  <c r="U49" i="93"/>
  <c r="Q49" i="93"/>
  <c r="U48" i="93"/>
  <c r="Q48" i="93"/>
  <c r="U47" i="93"/>
  <c r="Q47" i="93"/>
  <c r="U46" i="93"/>
  <c r="Q46" i="93"/>
  <c r="U45" i="93"/>
  <c r="Q45" i="93"/>
  <c r="U44" i="93"/>
  <c r="Q44" i="93"/>
  <c r="U43" i="93"/>
  <c r="Q43" i="93"/>
  <c r="U42" i="93"/>
  <c r="Q42" i="93"/>
  <c r="U41" i="93"/>
  <c r="Q41" i="93"/>
  <c r="U40" i="93"/>
  <c r="Q40" i="93"/>
  <c r="U39" i="93"/>
  <c r="Q39" i="93"/>
  <c r="U38" i="93"/>
  <c r="Q38" i="93"/>
  <c r="U37" i="93"/>
  <c r="Q37" i="93"/>
  <c r="U36" i="93"/>
  <c r="Q36" i="93"/>
  <c r="U35" i="93"/>
  <c r="Q35" i="93"/>
  <c r="U34" i="93"/>
  <c r="Q34" i="93"/>
  <c r="U33" i="93"/>
  <c r="Q33" i="93"/>
  <c r="U32" i="93"/>
  <c r="Q32" i="93"/>
  <c r="U31" i="93"/>
  <c r="Q31" i="93"/>
  <c r="U30" i="93"/>
  <c r="Q30" i="93"/>
  <c r="U29" i="93"/>
  <c r="Q29" i="93"/>
  <c r="U28" i="93"/>
  <c r="Q28" i="93"/>
  <c r="U27" i="93"/>
  <c r="Q27" i="93"/>
  <c r="U26" i="93"/>
  <c r="Q26" i="93"/>
  <c r="U25" i="93"/>
  <c r="Q25" i="93"/>
  <c r="U24" i="93"/>
  <c r="Q24" i="93"/>
  <c r="U23" i="93"/>
  <c r="Q23" i="93"/>
  <c r="U22" i="93"/>
  <c r="Q22" i="93"/>
  <c r="U21" i="93"/>
  <c r="Q21" i="93"/>
  <c r="Q20" i="93"/>
  <c r="U20" i="93" s="1"/>
  <c r="Q19" i="93"/>
  <c r="U19" i="93" s="1"/>
  <c r="Q18" i="93"/>
  <c r="U18" i="93" s="1"/>
  <c r="Q17" i="93"/>
  <c r="U17" i="93" s="1"/>
  <c r="Q16" i="93"/>
  <c r="U16" i="93" s="1"/>
  <c r="Q15" i="93"/>
  <c r="D5" i="93"/>
  <c r="D4" i="93"/>
  <c r="V197" i="90"/>
  <c r="Q193" i="90"/>
  <c r="V193" i="90" s="1"/>
  <c r="Q191" i="90"/>
  <c r="V191" i="90" s="1"/>
  <c r="Q190" i="90"/>
  <c r="V190" i="90" s="1"/>
  <c r="Q189" i="90"/>
  <c r="V189" i="90" s="1"/>
  <c r="Q188" i="90"/>
  <c r="V188" i="90" s="1"/>
  <c r="Q187" i="90"/>
  <c r="V187" i="90" s="1"/>
  <c r="Q183" i="90"/>
  <c r="V183" i="90" s="1"/>
  <c r="Q182" i="90"/>
  <c r="V182" i="90" s="1"/>
  <c r="Q181" i="90"/>
  <c r="Q179" i="90"/>
  <c r="V179" i="90" s="1"/>
  <c r="Q178" i="90"/>
  <c r="Q177" i="90"/>
  <c r="Q174" i="90"/>
  <c r="V174" i="90" s="1"/>
  <c r="Q173" i="90"/>
  <c r="V173" i="90" s="1"/>
  <c r="Q165" i="90"/>
  <c r="V165" i="90" s="1"/>
  <c r="Q164" i="90"/>
  <c r="Q157" i="90"/>
  <c r="V157" i="90" s="1"/>
  <c r="Q156" i="90"/>
  <c r="V156" i="90" s="1"/>
  <c r="Q155" i="90"/>
  <c r="Q154" i="90"/>
  <c r="V154" i="90" s="1"/>
  <c r="Q153" i="90"/>
  <c r="V153" i="90" s="1"/>
  <c r="Q152" i="90"/>
  <c r="V152" i="90" s="1"/>
  <c r="Q151" i="90"/>
  <c r="Q150" i="90"/>
  <c r="V150" i="90" s="1"/>
  <c r="Q149" i="90"/>
  <c r="V149" i="90" s="1"/>
  <c r="Q148" i="90"/>
  <c r="V148" i="90" s="1"/>
  <c r="Q147" i="90"/>
  <c r="Q146" i="90"/>
  <c r="V146" i="90" s="1"/>
  <c r="Q145" i="90"/>
  <c r="V145" i="90" s="1"/>
  <c r="Q144" i="90"/>
  <c r="V144" i="90" s="1"/>
  <c r="Q143" i="90"/>
  <c r="Q142" i="90"/>
  <c r="V142" i="90" s="1"/>
  <c r="Q141" i="90"/>
  <c r="V141" i="90" s="1"/>
  <c r="Q140" i="90"/>
  <c r="V140" i="90" s="1"/>
  <c r="Q139" i="90"/>
  <c r="Q138" i="90"/>
  <c r="V138" i="90" s="1"/>
  <c r="Q137" i="90"/>
  <c r="V137" i="90" s="1"/>
  <c r="Q136" i="90"/>
  <c r="V136" i="90" s="1"/>
  <c r="Q135" i="90"/>
  <c r="Q134" i="90"/>
  <c r="V134" i="90" s="1"/>
  <c r="Q133" i="90"/>
  <c r="V133" i="90" s="1"/>
  <c r="Q132" i="90"/>
  <c r="V132" i="90" s="1"/>
  <c r="Q131" i="90"/>
  <c r="Q130" i="90"/>
  <c r="V130" i="90" s="1"/>
  <c r="Q129" i="90"/>
  <c r="V129" i="90" s="1"/>
  <c r="Q128" i="90"/>
  <c r="V128" i="90" s="1"/>
  <c r="Q127" i="90"/>
  <c r="Q126" i="90"/>
  <c r="V126" i="90" s="1"/>
  <c r="Q125" i="90"/>
  <c r="V125" i="90" s="1"/>
  <c r="Q124" i="90"/>
  <c r="V124" i="90" s="1"/>
  <c r="Q123" i="90"/>
  <c r="Q122" i="90"/>
  <c r="V122" i="90" s="1"/>
  <c r="Q121" i="90"/>
  <c r="V121" i="90" s="1"/>
  <c r="Q120" i="90"/>
  <c r="V120" i="90" s="1"/>
  <c r="Q119" i="90"/>
  <c r="Q118" i="90"/>
  <c r="V118" i="90" s="1"/>
  <c r="Q117" i="90"/>
  <c r="V117" i="90" s="1"/>
  <c r="Q116" i="90"/>
  <c r="V116" i="90" s="1"/>
  <c r="Q115" i="90"/>
  <c r="Q114" i="90"/>
  <c r="V114" i="90" s="1"/>
  <c r="Q113" i="90"/>
  <c r="V113" i="90" s="1"/>
  <c r="Q112" i="90"/>
  <c r="V112" i="90" s="1"/>
  <c r="Q111" i="90"/>
  <c r="Q110" i="90"/>
  <c r="V110" i="90" s="1"/>
  <c r="Q109" i="90"/>
  <c r="V109" i="90" s="1"/>
  <c r="Q108" i="90"/>
  <c r="V108" i="90" s="1"/>
  <c r="Q107" i="90"/>
  <c r="Q106" i="90"/>
  <c r="V106" i="90" s="1"/>
  <c r="Q105" i="90"/>
  <c r="V105" i="90" s="1"/>
  <c r="Q104" i="90"/>
  <c r="V104" i="90" s="1"/>
  <c r="Q103" i="90"/>
  <c r="Q102" i="90"/>
  <c r="V102" i="90" s="1"/>
  <c r="Q101" i="90"/>
  <c r="V101" i="90" s="1"/>
  <c r="Q100" i="90"/>
  <c r="V100" i="90" s="1"/>
  <c r="Q99" i="90"/>
  <c r="Q98" i="90"/>
  <c r="V98" i="90" s="1"/>
  <c r="Q97" i="90"/>
  <c r="V97" i="90" s="1"/>
  <c r="Q96" i="90"/>
  <c r="V96" i="90" s="1"/>
  <c r="Q95" i="90"/>
  <c r="Q94" i="90"/>
  <c r="V94" i="90" s="1"/>
  <c r="Q93" i="90"/>
  <c r="V93" i="90" s="1"/>
  <c r="Q92" i="90"/>
  <c r="V92" i="90" s="1"/>
  <c r="Q91" i="90"/>
  <c r="Q90" i="90"/>
  <c r="V90" i="90" s="1"/>
  <c r="Q89" i="90"/>
  <c r="V89" i="90" s="1"/>
  <c r="Q88" i="90"/>
  <c r="V88" i="90" s="1"/>
  <c r="Q87" i="90"/>
  <c r="Q86" i="90"/>
  <c r="V86" i="90" s="1"/>
  <c r="Q85" i="90"/>
  <c r="V85" i="90" s="1"/>
  <c r="Q84" i="90"/>
  <c r="V84" i="90" s="1"/>
  <c r="Q83" i="90"/>
  <c r="Q82" i="90"/>
  <c r="V82" i="90" s="1"/>
  <c r="Q81" i="90"/>
  <c r="V81" i="90" s="1"/>
  <c r="Q80" i="90"/>
  <c r="V80" i="90" s="1"/>
  <c r="Q79" i="90"/>
  <c r="Q78" i="90"/>
  <c r="V78" i="90" s="1"/>
  <c r="Q77" i="90"/>
  <c r="V77" i="90" s="1"/>
  <c r="Q76" i="90"/>
  <c r="V76" i="90" s="1"/>
  <c r="Q75" i="90"/>
  <c r="Q74" i="90"/>
  <c r="V74" i="90" s="1"/>
  <c r="Q73" i="90"/>
  <c r="V73" i="90" s="1"/>
  <c r="Q72" i="90"/>
  <c r="V72" i="90" s="1"/>
  <c r="Q71" i="90"/>
  <c r="Q69" i="90"/>
  <c r="V69" i="90" s="1"/>
  <c r="Q68" i="90"/>
  <c r="Q67" i="90"/>
  <c r="V67" i="90" s="1"/>
  <c r="Q66" i="90"/>
  <c r="V66" i="90" s="1"/>
  <c r="Q65" i="90"/>
  <c r="V65" i="90" s="1"/>
  <c r="Q64" i="90"/>
  <c r="Q63" i="90"/>
  <c r="V63" i="90" s="1"/>
  <c r="Q62" i="90"/>
  <c r="V62" i="90" s="1"/>
  <c r="Q61" i="90"/>
  <c r="Q60" i="90"/>
  <c r="Q59" i="90"/>
  <c r="V59" i="90" s="1"/>
  <c r="Q58" i="90"/>
  <c r="V58" i="90" s="1"/>
  <c r="Q57" i="90"/>
  <c r="V57" i="90" s="1"/>
  <c r="Q55" i="90"/>
  <c r="V55" i="90" s="1"/>
  <c r="Q54" i="90"/>
  <c r="V54" i="90" s="1"/>
  <c r="Q53" i="90"/>
  <c r="V53" i="90" s="1"/>
  <c r="Q52" i="90"/>
  <c r="Q51" i="90"/>
  <c r="V51" i="90" s="1"/>
  <c r="Q50" i="90"/>
  <c r="V50" i="90" s="1"/>
  <c r="Q49" i="90"/>
  <c r="V49" i="90" s="1"/>
  <c r="Q48" i="90"/>
  <c r="Q47" i="90"/>
  <c r="V47" i="90" s="1"/>
  <c r="Q46" i="90"/>
  <c r="V46" i="90" s="1"/>
  <c r="Q45" i="90"/>
  <c r="Q44" i="90"/>
  <c r="Q42" i="90"/>
  <c r="V42" i="90" s="1"/>
  <c r="Q41" i="90"/>
  <c r="Q40" i="90"/>
  <c r="Q39" i="90"/>
  <c r="V39" i="90" s="1"/>
  <c r="Q38" i="90"/>
  <c r="V38" i="90" s="1"/>
  <c r="Q37" i="90"/>
  <c r="Q36" i="90"/>
  <c r="Q35" i="90"/>
  <c r="V35" i="90" s="1"/>
  <c r="Q34" i="90"/>
  <c r="V34" i="90" s="1"/>
  <c r="Q33" i="90"/>
  <c r="Q32" i="90"/>
  <c r="Q31" i="90"/>
  <c r="V31" i="90" s="1"/>
  <c r="Q30" i="90"/>
  <c r="V30" i="90" s="1"/>
  <c r="Q29" i="90"/>
  <c r="Q28" i="90"/>
  <c r="Q27" i="90"/>
  <c r="V27" i="90" s="1"/>
  <c r="Q26" i="90"/>
  <c r="V26" i="90" s="1"/>
  <c r="Q25" i="90"/>
  <c r="Q24" i="90"/>
  <c r="Q23" i="90"/>
  <c r="V23" i="90" s="1"/>
  <c r="Q22" i="90"/>
  <c r="V22" i="90" s="1"/>
  <c r="Q21" i="90"/>
  <c r="V21" i="90" s="1"/>
  <c r="Q20" i="90"/>
  <c r="V20" i="90" s="1"/>
  <c r="Q19" i="90"/>
  <c r="V19" i="90" s="1"/>
  <c r="Q18" i="90"/>
  <c r="V18" i="90" s="1"/>
  <c r="Q17" i="90"/>
  <c r="V17" i="90" s="1"/>
  <c r="Q16" i="90"/>
  <c r="V16" i="90" s="1"/>
  <c r="Q15" i="90"/>
  <c r="V15" i="90" s="1"/>
  <c r="D5" i="90"/>
  <c r="D4" i="90"/>
  <c r="T197" i="143"/>
  <c r="P194" i="143"/>
  <c r="O194" i="143"/>
  <c r="N194" i="143"/>
  <c r="M194" i="143"/>
  <c r="L194" i="143"/>
  <c r="K194" i="143"/>
  <c r="J194" i="143"/>
  <c r="I194" i="143"/>
  <c r="H194" i="143"/>
  <c r="G194" i="143"/>
  <c r="F194" i="143"/>
  <c r="Q193" i="143"/>
  <c r="Q192" i="143"/>
  <c r="T192" i="143" s="1"/>
  <c r="Q191" i="143"/>
  <c r="T191" i="143" s="1"/>
  <c r="Q190" i="143"/>
  <c r="Q189" i="143"/>
  <c r="Q188" i="143"/>
  <c r="T188" i="143" s="1"/>
  <c r="Q187" i="143"/>
  <c r="T187" i="143" s="1"/>
  <c r="Q184" i="143"/>
  <c r="Q183" i="143"/>
  <c r="T183" i="143" s="1"/>
  <c r="Q182" i="143"/>
  <c r="T182" i="143" s="1"/>
  <c r="Q181" i="143"/>
  <c r="T181" i="143" s="1"/>
  <c r="Q180" i="143"/>
  <c r="Q179" i="143"/>
  <c r="T179" i="143" s="1"/>
  <c r="Q178" i="143"/>
  <c r="T178" i="143" s="1"/>
  <c r="Q177" i="143"/>
  <c r="Q174" i="143"/>
  <c r="T174" i="143" s="1"/>
  <c r="Q173" i="143"/>
  <c r="T173" i="143" s="1"/>
  <c r="Q170" i="143"/>
  <c r="T170" i="143" s="1"/>
  <c r="Q169" i="143"/>
  <c r="Q165" i="143"/>
  <c r="T165" i="143" s="1"/>
  <c r="Q164" i="143"/>
  <c r="Q157" i="143"/>
  <c r="T157" i="143" s="1"/>
  <c r="Q156" i="143"/>
  <c r="T156" i="143" s="1"/>
  <c r="Q155" i="143"/>
  <c r="T155" i="143" s="1"/>
  <c r="Q154" i="143"/>
  <c r="Q153" i="143"/>
  <c r="T153" i="143" s="1"/>
  <c r="Q152" i="143"/>
  <c r="T152" i="143" s="1"/>
  <c r="Q151" i="143"/>
  <c r="T151" i="143" s="1"/>
  <c r="Q150" i="143"/>
  <c r="Q149" i="143"/>
  <c r="Q148" i="143"/>
  <c r="T148" i="143" s="1"/>
  <c r="Q147" i="143"/>
  <c r="T147" i="143" s="1"/>
  <c r="Q146" i="143"/>
  <c r="Q145" i="143"/>
  <c r="Q144" i="143"/>
  <c r="T144" i="143" s="1"/>
  <c r="Q143" i="143"/>
  <c r="T143" i="143" s="1"/>
  <c r="Q142" i="143"/>
  <c r="Q141" i="143"/>
  <c r="Q140" i="143"/>
  <c r="T140" i="143" s="1"/>
  <c r="Q139" i="143"/>
  <c r="T139" i="143" s="1"/>
  <c r="Q138" i="143"/>
  <c r="Q137" i="143"/>
  <c r="Q136" i="143"/>
  <c r="T136" i="143" s="1"/>
  <c r="Q135" i="143"/>
  <c r="T135" i="143" s="1"/>
  <c r="Q134" i="143"/>
  <c r="Q133" i="143"/>
  <c r="Q132" i="143"/>
  <c r="T132" i="143" s="1"/>
  <c r="Q131" i="143"/>
  <c r="T131" i="143" s="1"/>
  <c r="Q130" i="143"/>
  <c r="Q129" i="143"/>
  <c r="Q128" i="143"/>
  <c r="T128" i="143" s="1"/>
  <c r="Q127" i="143"/>
  <c r="T127" i="143" s="1"/>
  <c r="Q126" i="143"/>
  <c r="Q125" i="143"/>
  <c r="Q124" i="143"/>
  <c r="T124" i="143" s="1"/>
  <c r="Q123" i="143"/>
  <c r="T123" i="143" s="1"/>
  <c r="Q122" i="143"/>
  <c r="Q121" i="143"/>
  <c r="Q120" i="143"/>
  <c r="T120" i="143" s="1"/>
  <c r="Q119" i="143"/>
  <c r="T119" i="143" s="1"/>
  <c r="Q118" i="143"/>
  <c r="Q117" i="143"/>
  <c r="Q116" i="143"/>
  <c r="T116" i="143" s="1"/>
  <c r="Q115" i="143"/>
  <c r="T115" i="143" s="1"/>
  <c r="Q114" i="143"/>
  <c r="Q113" i="143"/>
  <c r="Q112" i="143"/>
  <c r="T112" i="143" s="1"/>
  <c r="Q111" i="143"/>
  <c r="T111" i="143" s="1"/>
  <c r="Q110" i="143"/>
  <c r="Q109" i="143"/>
  <c r="Q108" i="143"/>
  <c r="T108" i="143" s="1"/>
  <c r="Q107" i="143"/>
  <c r="T107" i="143" s="1"/>
  <c r="Q106" i="143"/>
  <c r="Q105" i="143"/>
  <c r="Q104" i="143"/>
  <c r="T104" i="143" s="1"/>
  <c r="Q103" i="143"/>
  <c r="T103" i="143" s="1"/>
  <c r="Q102" i="143"/>
  <c r="Q101" i="143"/>
  <c r="Q100" i="143"/>
  <c r="T100" i="143" s="1"/>
  <c r="Q99" i="143"/>
  <c r="T99" i="143" s="1"/>
  <c r="Q98" i="143"/>
  <c r="Q97" i="143"/>
  <c r="Q96" i="143"/>
  <c r="T96" i="143" s="1"/>
  <c r="Q95" i="143"/>
  <c r="T95" i="143" s="1"/>
  <c r="Q94" i="143"/>
  <c r="Q93" i="143"/>
  <c r="Q92" i="143"/>
  <c r="T92" i="143" s="1"/>
  <c r="Q91" i="143"/>
  <c r="T91" i="143" s="1"/>
  <c r="Q90" i="143"/>
  <c r="Q89" i="143"/>
  <c r="Q88" i="143"/>
  <c r="T88" i="143" s="1"/>
  <c r="Q87" i="143"/>
  <c r="T87" i="143" s="1"/>
  <c r="Q86" i="143"/>
  <c r="Q85" i="143"/>
  <c r="Q84" i="143"/>
  <c r="T84" i="143" s="1"/>
  <c r="Q83" i="143"/>
  <c r="T83" i="143" s="1"/>
  <c r="Q82" i="143"/>
  <c r="Q81" i="143"/>
  <c r="Q80" i="143"/>
  <c r="T80" i="143" s="1"/>
  <c r="Q79" i="143"/>
  <c r="T79" i="143" s="1"/>
  <c r="Q78" i="143"/>
  <c r="Q77" i="143"/>
  <c r="Q76" i="143"/>
  <c r="T76" i="143" s="1"/>
  <c r="Q75" i="143"/>
  <c r="T75" i="143" s="1"/>
  <c r="Q74" i="143"/>
  <c r="Q73" i="143"/>
  <c r="Q72" i="143"/>
  <c r="T72" i="143" s="1"/>
  <c r="Q71" i="143"/>
  <c r="T71" i="143" s="1"/>
  <c r="Q69" i="143"/>
  <c r="Q68" i="143"/>
  <c r="T68" i="143" s="1"/>
  <c r="Q67" i="143"/>
  <c r="T67" i="143" s="1"/>
  <c r="Q66" i="143"/>
  <c r="T66" i="143" s="1"/>
  <c r="Q65" i="143"/>
  <c r="Q64" i="143"/>
  <c r="T64" i="143" s="1"/>
  <c r="Q63" i="143"/>
  <c r="T63" i="143" s="1"/>
  <c r="Q62" i="143"/>
  <c r="T62" i="143" s="1"/>
  <c r="Q61" i="143"/>
  <c r="Q60" i="143"/>
  <c r="T60" i="143" s="1"/>
  <c r="Q59" i="143"/>
  <c r="T59" i="143" s="1"/>
  <c r="Q58" i="143"/>
  <c r="T58" i="143" s="1"/>
  <c r="Q57" i="143"/>
  <c r="Q56" i="143"/>
  <c r="T56" i="143" s="1"/>
  <c r="Q55" i="143"/>
  <c r="T55" i="143" s="1"/>
  <c r="Q54" i="143"/>
  <c r="T54" i="143" s="1"/>
  <c r="Q53" i="143"/>
  <c r="Q52" i="143"/>
  <c r="T52" i="143" s="1"/>
  <c r="Q51" i="143"/>
  <c r="T51" i="143" s="1"/>
  <c r="Q50" i="143"/>
  <c r="T50" i="143" s="1"/>
  <c r="Q49" i="143"/>
  <c r="Q48" i="143"/>
  <c r="T48" i="143" s="1"/>
  <c r="Q47" i="143"/>
  <c r="T47" i="143" s="1"/>
  <c r="Q46" i="143"/>
  <c r="T46" i="143" s="1"/>
  <c r="Q45" i="143"/>
  <c r="Q44" i="143"/>
  <c r="T44" i="143" s="1"/>
  <c r="Q43" i="143"/>
  <c r="T43" i="143" s="1"/>
  <c r="Q42" i="143"/>
  <c r="T42" i="143" s="1"/>
  <c r="Q41" i="143"/>
  <c r="Q40" i="143"/>
  <c r="T40" i="143" s="1"/>
  <c r="Q39" i="143"/>
  <c r="T39" i="143" s="1"/>
  <c r="Q38" i="143"/>
  <c r="T38" i="143" s="1"/>
  <c r="Q37" i="143"/>
  <c r="Q36" i="143"/>
  <c r="T36" i="143" s="1"/>
  <c r="Q35" i="143"/>
  <c r="T35" i="143" s="1"/>
  <c r="Q34" i="143"/>
  <c r="T34" i="143" s="1"/>
  <c r="Q33" i="143"/>
  <c r="Q32" i="143"/>
  <c r="T32" i="143" s="1"/>
  <c r="Q31" i="143"/>
  <c r="T31" i="143" s="1"/>
  <c r="Q30" i="143"/>
  <c r="T30" i="143" s="1"/>
  <c r="Q29" i="143"/>
  <c r="Q28" i="143"/>
  <c r="T28" i="143" s="1"/>
  <c r="Q27" i="143"/>
  <c r="T27" i="143" s="1"/>
  <c r="Q26" i="143"/>
  <c r="T26" i="143" s="1"/>
  <c r="Q25" i="143"/>
  <c r="Q24" i="143"/>
  <c r="T24" i="143" s="1"/>
  <c r="Q23" i="143"/>
  <c r="T23" i="143" s="1"/>
  <c r="Q22" i="143"/>
  <c r="T22" i="143" s="1"/>
  <c r="Q21" i="143"/>
  <c r="Q20" i="143"/>
  <c r="T20" i="143" s="1"/>
  <c r="Q19" i="143"/>
  <c r="T19" i="143" s="1"/>
  <c r="Q18" i="143"/>
  <c r="T18" i="143" s="1"/>
  <c r="Q17" i="143"/>
  <c r="Q16" i="143"/>
  <c r="T16" i="143" s="1"/>
  <c r="Q15" i="143"/>
  <c r="T15" i="143" s="1"/>
  <c r="D5" i="143"/>
  <c r="D4" i="143"/>
  <c r="Q197" i="142"/>
  <c r="L194" i="142"/>
  <c r="I194" i="142"/>
  <c r="I195" i="142" s="1"/>
  <c r="I12" i="142" s="1"/>
  <c r="H194" i="142"/>
  <c r="G194" i="142"/>
  <c r="F194" i="142"/>
  <c r="P194" i="142"/>
  <c r="O194" i="142"/>
  <c r="N194" i="142"/>
  <c r="M194" i="142"/>
  <c r="K194" i="142"/>
  <c r="J194" i="142"/>
  <c r="Q191" i="142"/>
  <c r="U191" i="142" s="1"/>
  <c r="Q190" i="142"/>
  <c r="Q189" i="142"/>
  <c r="U189" i="142" s="1"/>
  <c r="Q188" i="142"/>
  <c r="U188" i="142" s="1"/>
  <c r="Q187" i="142"/>
  <c r="U187" i="142" s="1"/>
  <c r="Q184" i="142"/>
  <c r="U184" i="142" s="1"/>
  <c r="Q183" i="142"/>
  <c r="U183" i="142" s="1"/>
  <c r="Q182" i="142"/>
  <c r="U182" i="142" s="1"/>
  <c r="Q181" i="142"/>
  <c r="Q180" i="142"/>
  <c r="U180" i="142" s="1"/>
  <c r="Q179" i="142"/>
  <c r="U179" i="142" s="1"/>
  <c r="Q178" i="142"/>
  <c r="U178" i="142" s="1"/>
  <c r="Q177" i="142"/>
  <c r="Q174" i="142"/>
  <c r="Q173" i="142"/>
  <c r="Q170" i="142"/>
  <c r="U170" i="142" s="1"/>
  <c r="Q169" i="142"/>
  <c r="U169" i="142" s="1"/>
  <c r="Q165" i="142"/>
  <c r="Q164" i="142"/>
  <c r="U164" i="142" s="1"/>
  <c r="Q157" i="142"/>
  <c r="U157" i="142" s="1"/>
  <c r="Q156" i="142"/>
  <c r="U156" i="142" s="1"/>
  <c r="Q155" i="142"/>
  <c r="Q154" i="142"/>
  <c r="U154" i="142" s="1"/>
  <c r="Q153" i="142"/>
  <c r="U153" i="142" s="1"/>
  <c r="Q152" i="142"/>
  <c r="U152" i="142" s="1"/>
  <c r="Q151" i="142"/>
  <c r="Q150" i="142"/>
  <c r="U150" i="142" s="1"/>
  <c r="Q149" i="142"/>
  <c r="U149" i="142" s="1"/>
  <c r="Q148" i="142"/>
  <c r="Q147" i="142"/>
  <c r="Q146" i="142"/>
  <c r="U146" i="142" s="1"/>
  <c r="Q145" i="142"/>
  <c r="U145" i="142" s="1"/>
  <c r="Q144" i="142"/>
  <c r="U144" i="142" s="1"/>
  <c r="Q143" i="142"/>
  <c r="Q142" i="142"/>
  <c r="U142" i="142" s="1"/>
  <c r="Q141" i="142"/>
  <c r="U141" i="142" s="1"/>
  <c r="Q140" i="142"/>
  <c r="U140" i="142" s="1"/>
  <c r="Q139" i="142"/>
  <c r="Q138" i="142"/>
  <c r="U138" i="142" s="1"/>
  <c r="Q137" i="142"/>
  <c r="U137" i="142" s="1"/>
  <c r="Q136" i="142"/>
  <c r="U136" i="142" s="1"/>
  <c r="Q135" i="142"/>
  <c r="Q134" i="142"/>
  <c r="U134" i="142" s="1"/>
  <c r="Q133" i="142"/>
  <c r="U133" i="142" s="1"/>
  <c r="Q132" i="142"/>
  <c r="Q131" i="142"/>
  <c r="Q130" i="142"/>
  <c r="U130" i="142" s="1"/>
  <c r="Q129" i="142"/>
  <c r="U129" i="142" s="1"/>
  <c r="Q128" i="142"/>
  <c r="U128" i="142" s="1"/>
  <c r="Q127" i="142"/>
  <c r="Q126" i="142"/>
  <c r="U126" i="142" s="1"/>
  <c r="Q125" i="142"/>
  <c r="U125" i="142" s="1"/>
  <c r="Q124" i="142"/>
  <c r="U124" i="142" s="1"/>
  <c r="Q123" i="142"/>
  <c r="Q122" i="142"/>
  <c r="U122" i="142" s="1"/>
  <c r="Q121" i="142"/>
  <c r="U121" i="142" s="1"/>
  <c r="Q120" i="142"/>
  <c r="U120" i="142" s="1"/>
  <c r="Q119" i="142"/>
  <c r="Q118" i="142"/>
  <c r="U118" i="142" s="1"/>
  <c r="Q117" i="142"/>
  <c r="U117" i="142" s="1"/>
  <c r="Q116" i="142"/>
  <c r="Q115" i="142"/>
  <c r="Q114" i="142"/>
  <c r="U114" i="142" s="1"/>
  <c r="Q113" i="142"/>
  <c r="U113" i="142" s="1"/>
  <c r="Q112" i="142"/>
  <c r="U112" i="142" s="1"/>
  <c r="Q111" i="142"/>
  <c r="Q110" i="142"/>
  <c r="U110" i="142" s="1"/>
  <c r="Q109" i="142"/>
  <c r="U109" i="142" s="1"/>
  <c r="Q108" i="142"/>
  <c r="U108" i="142" s="1"/>
  <c r="Q107" i="142"/>
  <c r="Q106" i="142"/>
  <c r="U106" i="142" s="1"/>
  <c r="Q105" i="142"/>
  <c r="U105" i="142" s="1"/>
  <c r="Q104" i="142"/>
  <c r="U104" i="142" s="1"/>
  <c r="Q103" i="142"/>
  <c r="Q102" i="142"/>
  <c r="U102" i="142" s="1"/>
  <c r="Q101" i="142"/>
  <c r="U101" i="142" s="1"/>
  <c r="Q100" i="142"/>
  <c r="Q99" i="142"/>
  <c r="Q98" i="142"/>
  <c r="U98" i="142" s="1"/>
  <c r="Q97" i="142"/>
  <c r="U97" i="142" s="1"/>
  <c r="Q96" i="142"/>
  <c r="U96" i="142" s="1"/>
  <c r="Q95" i="142"/>
  <c r="Q94" i="142"/>
  <c r="U94" i="142" s="1"/>
  <c r="Q93" i="142"/>
  <c r="U93" i="142" s="1"/>
  <c r="Q92" i="142"/>
  <c r="U92" i="142" s="1"/>
  <c r="Q91" i="142"/>
  <c r="Q90" i="142"/>
  <c r="U90" i="142" s="1"/>
  <c r="Q89" i="142"/>
  <c r="U89" i="142" s="1"/>
  <c r="Q88" i="142"/>
  <c r="U88" i="142" s="1"/>
  <c r="Q87" i="142"/>
  <c r="Q86" i="142"/>
  <c r="U86" i="142" s="1"/>
  <c r="Q85" i="142"/>
  <c r="U85" i="142" s="1"/>
  <c r="Q84" i="142"/>
  <c r="Q83" i="142"/>
  <c r="Q82" i="142"/>
  <c r="U82" i="142" s="1"/>
  <c r="Q81" i="142"/>
  <c r="U81" i="142" s="1"/>
  <c r="Q80" i="142"/>
  <c r="U80" i="142" s="1"/>
  <c r="Q79" i="142"/>
  <c r="Q78" i="142"/>
  <c r="U78" i="142" s="1"/>
  <c r="Q77" i="142"/>
  <c r="U77" i="142" s="1"/>
  <c r="Q76" i="142"/>
  <c r="U76" i="142" s="1"/>
  <c r="Q75" i="142"/>
  <c r="Q74" i="142"/>
  <c r="U74" i="142" s="1"/>
  <c r="Q73" i="142"/>
  <c r="U73" i="142" s="1"/>
  <c r="Q72" i="142"/>
  <c r="U72" i="142" s="1"/>
  <c r="Q71" i="142"/>
  <c r="Q69" i="142"/>
  <c r="U69" i="142" s="1"/>
  <c r="Q68" i="142"/>
  <c r="U68" i="142" s="1"/>
  <c r="Q67" i="142"/>
  <c r="Q66" i="142"/>
  <c r="U66" i="142" s="1"/>
  <c r="Q65" i="142"/>
  <c r="U65" i="142" s="1"/>
  <c r="Q64" i="142"/>
  <c r="U64" i="142" s="1"/>
  <c r="Q63" i="142"/>
  <c r="Q62" i="142"/>
  <c r="U62" i="142" s="1"/>
  <c r="Q61" i="142"/>
  <c r="U61" i="142" s="1"/>
  <c r="Q60" i="142"/>
  <c r="U60" i="142" s="1"/>
  <c r="Q59" i="142"/>
  <c r="Q58" i="142"/>
  <c r="U58" i="142" s="1"/>
  <c r="Q57" i="142"/>
  <c r="U57" i="142" s="1"/>
  <c r="Q56" i="142"/>
  <c r="U56" i="142" s="1"/>
  <c r="Q55" i="142"/>
  <c r="Q54" i="142"/>
  <c r="U54" i="142" s="1"/>
  <c r="Q53" i="142"/>
  <c r="U53" i="142" s="1"/>
  <c r="Q52" i="142"/>
  <c r="U52" i="142" s="1"/>
  <c r="Q51" i="142"/>
  <c r="Q50" i="142"/>
  <c r="U50" i="142" s="1"/>
  <c r="Q49" i="142"/>
  <c r="U49" i="142" s="1"/>
  <c r="Q48" i="142"/>
  <c r="U48" i="142" s="1"/>
  <c r="Q47" i="142"/>
  <c r="Q46" i="142"/>
  <c r="U46" i="142" s="1"/>
  <c r="Q45" i="142"/>
  <c r="U45" i="142" s="1"/>
  <c r="Q44" i="142"/>
  <c r="U44" i="142" s="1"/>
  <c r="Q42" i="142"/>
  <c r="U42" i="142" s="1"/>
  <c r="Q41" i="142"/>
  <c r="U41" i="142" s="1"/>
  <c r="Q40" i="142"/>
  <c r="U40" i="142" s="1"/>
  <c r="Q39" i="142"/>
  <c r="Q38" i="142"/>
  <c r="U38" i="142" s="1"/>
  <c r="Q37" i="142"/>
  <c r="U37" i="142" s="1"/>
  <c r="Q36" i="142"/>
  <c r="U36" i="142" s="1"/>
  <c r="Q35" i="142"/>
  <c r="Q34" i="142"/>
  <c r="U34" i="142" s="1"/>
  <c r="Q33" i="142"/>
  <c r="U33" i="142" s="1"/>
  <c r="Q32" i="142"/>
  <c r="U32" i="142" s="1"/>
  <c r="Q31" i="142"/>
  <c r="Q30" i="142"/>
  <c r="U30" i="142" s="1"/>
  <c r="Q29" i="142"/>
  <c r="U29" i="142" s="1"/>
  <c r="Q28" i="142"/>
  <c r="U28" i="142" s="1"/>
  <c r="Q27" i="142"/>
  <c r="Q26" i="142"/>
  <c r="U26" i="142" s="1"/>
  <c r="Q25" i="142"/>
  <c r="U25" i="142" s="1"/>
  <c r="Q24" i="142"/>
  <c r="U24" i="142" s="1"/>
  <c r="Q23" i="142"/>
  <c r="Q22" i="142"/>
  <c r="U22" i="142" s="1"/>
  <c r="Q21" i="142"/>
  <c r="U21" i="142" s="1"/>
  <c r="Q20" i="142"/>
  <c r="U20" i="142" s="1"/>
  <c r="Q19" i="142"/>
  <c r="Q18" i="142"/>
  <c r="U18" i="142" s="1"/>
  <c r="Q17" i="142"/>
  <c r="U17" i="142" s="1"/>
  <c r="Q16" i="142"/>
  <c r="U16" i="142" s="1"/>
  <c r="Q15" i="142"/>
  <c r="D5" i="142"/>
  <c r="D4" i="142"/>
  <c r="J194" i="140"/>
  <c r="Q191" i="140"/>
  <c r="Q190" i="140"/>
  <c r="Q189" i="140"/>
  <c r="Q188" i="140"/>
  <c r="Q187" i="140"/>
  <c r="Q184" i="140"/>
  <c r="Q183" i="140"/>
  <c r="Q182" i="140"/>
  <c r="Q181" i="140"/>
  <c r="Q180" i="140"/>
  <c r="Q179" i="140"/>
  <c r="Q178" i="140"/>
  <c r="Q177" i="140"/>
  <c r="Q174" i="140"/>
  <c r="Q173" i="140"/>
  <c r="Q170" i="140"/>
  <c r="Q165" i="140"/>
  <c r="Q164" i="140"/>
  <c r="Q157" i="140"/>
  <c r="T157" i="140" s="1"/>
  <c r="Q156" i="140"/>
  <c r="Q155" i="140"/>
  <c r="T155" i="140" s="1"/>
  <c r="Q154" i="140"/>
  <c r="T154" i="140" s="1"/>
  <c r="Q153" i="140"/>
  <c r="T153" i="140" s="1"/>
  <c r="Q152" i="140"/>
  <c r="Q151" i="140"/>
  <c r="T151" i="140" s="1"/>
  <c r="Q150" i="140"/>
  <c r="T150" i="140" s="1"/>
  <c r="Q149" i="140"/>
  <c r="T149" i="140" s="1"/>
  <c r="Q148" i="140"/>
  <c r="Q147" i="140"/>
  <c r="T147" i="140" s="1"/>
  <c r="Q146" i="140"/>
  <c r="T146" i="140" s="1"/>
  <c r="Q145" i="140"/>
  <c r="T145" i="140" s="1"/>
  <c r="Q144" i="140"/>
  <c r="Q143" i="140"/>
  <c r="T143" i="140" s="1"/>
  <c r="Q142" i="140"/>
  <c r="T142" i="140" s="1"/>
  <c r="Q141" i="140"/>
  <c r="T141" i="140" s="1"/>
  <c r="Q140" i="140"/>
  <c r="Q139" i="140"/>
  <c r="T139" i="140" s="1"/>
  <c r="Q138" i="140"/>
  <c r="T138" i="140" s="1"/>
  <c r="Q137" i="140"/>
  <c r="T137" i="140" s="1"/>
  <c r="Q136" i="140"/>
  <c r="T136" i="140" s="1"/>
  <c r="Q135" i="140"/>
  <c r="T135" i="140" s="1"/>
  <c r="Q134" i="140"/>
  <c r="T134" i="140" s="1"/>
  <c r="Q133" i="140"/>
  <c r="T133" i="140" s="1"/>
  <c r="Q132" i="140"/>
  <c r="T132" i="140" s="1"/>
  <c r="Q131" i="140"/>
  <c r="T131" i="140" s="1"/>
  <c r="Q130" i="140"/>
  <c r="T130" i="140" s="1"/>
  <c r="Q129" i="140"/>
  <c r="T129" i="140" s="1"/>
  <c r="Q128" i="140"/>
  <c r="T128" i="140" s="1"/>
  <c r="Q127" i="140"/>
  <c r="T127" i="140" s="1"/>
  <c r="Q126" i="140"/>
  <c r="T126" i="140" s="1"/>
  <c r="Q125" i="140"/>
  <c r="T125" i="140" s="1"/>
  <c r="Q124" i="140"/>
  <c r="T124" i="140" s="1"/>
  <c r="Q123" i="140"/>
  <c r="T123" i="140" s="1"/>
  <c r="Q122" i="140"/>
  <c r="T122" i="140" s="1"/>
  <c r="Q121" i="140"/>
  <c r="T121" i="140" s="1"/>
  <c r="Q120" i="140"/>
  <c r="T120" i="140" s="1"/>
  <c r="Q119" i="140"/>
  <c r="T119" i="140" s="1"/>
  <c r="Q118" i="140"/>
  <c r="T118" i="140" s="1"/>
  <c r="Q117" i="140"/>
  <c r="T117" i="140" s="1"/>
  <c r="Q116" i="140"/>
  <c r="T116" i="140" s="1"/>
  <c r="Q115" i="140"/>
  <c r="T115" i="140" s="1"/>
  <c r="Q114" i="140"/>
  <c r="T114" i="140" s="1"/>
  <c r="Q113" i="140"/>
  <c r="T113" i="140" s="1"/>
  <c r="Q112" i="140"/>
  <c r="T112" i="140" s="1"/>
  <c r="Q111" i="140"/>
  <c r="T111" i="140" s="1"/>
  <c r="Q110" i="140"/>
  <c r="T110" i="140" s="1"/>
  <c r="Q109" i="140"/>
  <c r="T109" i="140" s="1"/>
  <c r="Q108" i="140"/>
  <c r="T108" i="140" s="1"/>
  <c r="Q107" i="140"/>
  <c r="T107" i="140" s="1"/>
  <c r="Q106" i="140"/>
  <c r="T106" i="140" s="1"/>
  <c r="Q105" i="140"/>
  <c r="T105" i="140" s="1"/>
  <c r="Q104" i="140"/>
  <c r="T104" i="140" s="1"/>
  <c r="Q103" i="140"/>
  <c r="T103" i="140" s="1"/>
  <c r="Q102" i="140"/>
  <c r="T102" i="140" s="1"/>
  <c r="Q101" i="140"/>
  <c r="T101" i="140" s="1"/>
  <c r="Q100" i="140"/>
  <c r="T100" i="140" s="1"/>
  <c r="Q99" i="140"/>
  <c r="T99" i="140" s="1"/>
  <c r="Q98" i="140"/>
  <c r="T98" i="140" s="1"/>
  <c r="Q97" i="140"/>
  <c r="T97" i="140" s="1"/>
  <c r="Q96" i="140"/>
  <c r="T96" i="140" s="1"/>
  <c r="Q95" i="140"/>
  <c r="T95" i="140" s="1"/>
  <c r="Q94" i="140"/>
  <c r="T94" i="140" s="1"/>
  <c r="Q93" i="140"/>
  <c r="T93" i="140" s="1"/>
  <c r="Q92" i="140"/>
  <c r="Q91" i="140"/>
  <c r="Q90" i="140"/>
  <c r="T90" i="140" s="1"/>
  <c r="Q89" i="140"/>
  <c r="Q88" i="140"/>
  <c r="T88" i="140" s="1"/>
  <c r="Q86" i="140"/>
  <c r="Q85" i="140"/>
  <c r="T85" i="140" s="1"/>
  <c r="Q84" i="140"/>
  <c r="T84" i="140" s="1"/>
  <c r="Q83" i="140"/>
  <c r="Q82" i="140"/>
  <c r="T82" i="140" s="1"/>
  <c r="Q81" i="140"/>
  <c r="T81" i="140" s="1"/>
  <c r="Q80" i="140"/>
  <c r="Q79" i="140"/>
  <c r="T79" i="140" s="1"/>
  <c r="Q78" i="140"/>
  <c r="Q77" i="140"/>
  <c r="T77" i="140" s="1"/>
  <c r="Q76" i="140"/>
  <c r="T76" i="140" s="1"/>
  <c r="Q75" i="140"/>
  <c r="Q74" i="140"/>
  <c r="T74" i="140" s="1"/>
  <c r="Q73" i="140"/>
  <c r="T73" i="140" s="1"/>
  <c r="Q72" i="140"/>
  <c r="Q71" i="140"/>
  <c r="Q69" i="140"/>
  <c r="T69" i="140" s="1"/>
  <c r="Q68" i="140"/>
  <c r="T68" i="140" s="1"/>
  <c r="Q67" i="140"/>
  <c r="T67" i="140" s="1"/>
  <c r="Q66" i="140"/>
  <c r="T66" i="140" s="1"/>
  <c r="Q65" i="140"/>
  <c r="T65" i="140" s="1"/>
  <c r="Q64" i="140"/>
  <c r="T64" i="140" s="1"/>
  <c r="Q63" i="140"/>
  <c r="T63" i="140" s="1"/>
  <c r="Q62" i="140"/>
  <c r="T62" i="140" s="1"/>
  <c r="Q61" i="140"/>
  <c r="T61" i="140" s="1"/>
  <c r="Q60" i="140"/>
  <c r="T60" i="140" s="1"/>
  <c r="Q59" i="140"/>
  <c r="T59" i="140" s="1"/>
  <c r="Q58" i="140"/>
  <c r="T58" i="140" s="1"/>
  <c r="Q57" i="140"/>
  <c r="T57" i="140" s="1"/>
  <c r="Q56" i="140"/>
  <c r="T56" i="140" s="1"/>
  <c r="Q55" i="140"/>
  <c r="T55" i="140" s="1"/>
  <c r="Q54" i="140"/>
  <c r="T54" i="140" s="1"/>
  <c r="Q53" i="140"/>
  <c r="T53" i="140" s="1"/>
  <c r="Q52" i="140"/>
  <c r="T52" i="140" s="1"/>
  <c r="Q51" i="140"/>
  <c r="T51" i="140" s="1"/>
  <c r="Q50" i="140"/>
  <c r="T50" i="140" s="1"/>
  <c r="Q49" i="140"/>
  <c r="T49" i="140" s="1"/>
  <c r="Q48" i="140"/>
  <c r="T48" i="140" s="1"/>
  <c r="Q47" i="140"/>
  <c r="T47" i="140" s="1"/>
  <c r="Q46" i="140"/>
  <c r="T46" i="140" s="1"/>
  <c r="Q45" i="140"/>
  <c r="T45" i="140" s="1"/>
  <c r="Q44" i="140"/>
  <c r="T44" i="140" s="1"/>
  <c r="Q42" i="140"/>
  <c r="T42" i="140" s="1"/>
  <c r="Q41" i="140"/>
  <c r="T41" i="140" s="1"/>
  <c r="Q40" i="140"/>
  <c r="T40" i="140" s="1"/>
  <c r="Q39" i="140"/>
  <c r="T39" i="140" s="1"/>
  <c r="Q38" i="140"/>
  <c r="T38" i="140" s="1"/>
  <c r="Q37" i="140"/>
  <c r="T37" i="140" s="1"/>
  <c r="Q36" i="140"/>
  <c r="T36" i="140" s="1"/>
  <c r="Q35" i="140"/>
  <c r="T35" i="140" s="1"/>
  <c r="Q34" i="140"/>
  <c r="T34" i="140" s="1"/>
  <c r="Q33" i="140"/>
  <c r="T33" i="140" s="1"/>
  <c r="Q32" i="140"/>
  <c r="T32" i="140" s="1"/>
  <c r="Q31" i="140"/>
  <c r="T31" i="140" s="1"/>
  <c r="Q30" i="140"/>
  <c r="T30" i="140" s="1"/>
  <c r="Q29" i="140"/>
  <c r="T29" i="140" s="1"/>
  <c r="Q28" i="140"/>
  <c r="T28" i="140" s="1"/>
  <c r="Q27" i="140"/>
  <c r="T27" i="140" s="1"/>
  <c r="Q26" i="140"/>
  <c r="T26" i="140" s="1"/>
  <c r="Q25" i="140"/>
  <c r="T25" i="140" s="1"/>
  <c r="Q24" i="140"/>
  <c r="T24" i="140" s="1"/>
  <c r="Q23" i="140"/>
  <c r="T23" i="140" s="1"/>
  <c r="Q22" i="140"/>
  <c r="T22" i="140" s="1"/>
  <c r="Q21" i="140"/>
  <c r="T21" i="140" s="1"/>
  <c r="Q20" i="140"/>
  <c r="T20" i="140" s="1"/>
  <c r="Q19" i="140"/>
  <c r="Q18" i="140"/>
  <c r="T18" i="140" s="1"/>
  <c r="Q17" i="140"/>
  <c r="T17" i="140" s="1"/>
  <c r="Q16" i="140"/>
  <c r="T16" i="140" s="1"/>
  <c r="Q15" i="140"/>
  <c r="T15" i="140" s="1"/>
  <c r="D5" i="140"/>
  <c r="D4" i="140"/>
  <c r="Q197" i="139"/>
  <c r="Q193" i="139"/>
  <c r="T193" i="139" s="1"/>
  <c r="P194" i="139"/>
  <c r="O194" i="139"/>
  <c r="N194" i="139"/>
  <c r="M194" i="139"/>
  <c r="L194" i="139"/>
  <c r="K194" i="139"/>
  <c r="J194" i="139"/>
  <c r="I194" i="139"/>
  <c r="H194" i="139"/>
  <c r="G194" i="139"/>
  <c r="Q191" i="139"/>
  <c r="Q190" i="139"/>
  <c r="T190" i="139" s="1"/>
  <c r="Q189" i="139"/>
  <c r="T189" i="139" s="1"/>
  <c r="Q188" i="139"/>
  <c r="T188" i="139" s="1"/>
  <c r="Q187" i="139"/>
  <c r="Q170" i="139"/>
  <c r="T170" i="139" s="1"/>
  <c r="Q169" i="139"/>
  <c r="T169" i="139" s="1"/>
  <c r="T167" i="139"/>
  <c r="N165" i="83"/>
  <c r="Q164" i="139"/>
  <c r="T164" i="139" s="1"/>
  <c r="Q157" i="139"/>
  <c r="T157" i="139" s="1"/>
  <c r="Q156" i="139"/>
  <c r="T156" i="139" s="1"/>
  <c r="Q155" i="139"/>
  <c r="T155" i="139" s="1"/>
  <c r="Q154" i="139"/>
  <c r="Q153" i="139"/>
  <c r="T153" i="139" s="1"/>
  <c r="Q152" i="139"/>
  <c r="T152" i="139" s="1"/>
  <c r="Q151" i="139"/>
  <c r="T151" i="139" s="1"/>
  <c r="Q150" i="139"/>
  <c r="Q149" i="139"/>
  <c r="T149" i="139" s="1"/>
  <c r="Q148" i="139"/>
  <c r="T148" i="139" s="1"/>
  <c r="Q147" i="139"/>
  <c r="T147" i="139" s="1"/>
  <c r="Q146" i="139"/>
  <c r="Q145" i="139"/>
  <c r="T145" i="139" s="1"/>
  <c r="Q144" i="139"/>
  <c r="T144" i="139" s="1"/>
  <c r="Q143" i="139"/>
  <c r="T143" i="139" s="1"/>
  <c r="Q142" i="139"/>
  <c r="Q141" i="139"/>
  <c r="T141" i="139" s="1"/>
  <c r="Q140" i="139"/>
  <c r="T140" i="139" s="1"/>
  <c r="Q139" i="139"/>
  <c r="T139" i="139" s="1"/>
  <c r="Q138" i="139"/>
  <c r="Q137" i="139"/>
  <c r="T137" i="139" s="1"/>
  <c r="Q136" i="139"/>
  <c r="T136" i="139" s="1"/>
  <c r="Q135" i="139"/>
  <c r="T135" i="139" s="1"/>
  <c r="Q134" i="139"/>
  <c r="Q133" i="139"/>
  <c r="T133" i="139" s="1"/>
  <c r="Q132" i="139"/>
  <c r="T132" i="139" s="1"/>
  <c r="Q131" i="139"/>
  <c r="T131" i="139" s="1"/>
  <c r="Q130" i="139"/>
  <c r="Q129" i="139"/>
  <c r="T129" i="139" s="1"/>
  <c r="Q128" i="139"/>
  <c r="T128" i="139" s="1"/>
  <c r="Q127" i="139"/>
  <c r="T127" i="139" s="1"/>
  <c r="Q126" i="139"/>
  <c r="Q125" i="139"/>
  <c r="T125" i="139" s="1"/>
  <c r="Q124" i="139"/>
  <c r="T124" i="139" s="1"/>
  <c r="Q123" i="139"/>
  <c r="T123" i="139" s="1"/>
  <c r="Q122" i="139"/>
  <c r="Q121" i="139"/>
  <c r="T121" i="139" s="1"/>
  <c r="Q120" i="139"/>
  <c r="T120" i="139" s="1"/>
  <c r="Q119" i="139"/>
  <c r="T119" i="139" s="1"/>
  <c r="Q118" i="139"/>
  <c r="Q117" i="139"/>
  <c r="T117" i="139" s="1"/>
  <c r="Q116" i="139"/>
  <c r="T116" i="139" s="1"/>
  <c r="Q115" i="139"/>
  <c r="T115" i="139" s="1"/>
  <c r="Q114" i="139"/>
  <c r="Q113" i="139"/>
  <c r="T113" i="139" s="1"/>
  <c r="Q112" i="139"/>
  <c r="T112" i="139" s="1"/>
  <c r="Q111" i="139"/>
  <c r="T111" i="139" s="1"/>
  <c r="Q110" i="139"/>
  <c r="Q109" i="139"/>
  <c r="T109" i="139" s="1"/>
  <c r="Q108" i="139"/>
  <c r="T108" i="139" s="1"/>
  <c r="Q107" i="139"/>
  <c r="T107" i="139" s="1"/>
  <c r="Q106" i="139"/>
  <c r="Q105" i="139"/>
  <c r="T105" i="139" s="1"/>
  <c r="Q104" i="139"/>
  <c r="T104" i="139" s="1"/>
  <c r="Q103" i="139"/>
  <c r="T103" i="139" s="1"/>
  <c r="Q102" i="139"/>
  <c r="Q101" i="139"/>
  <c r="T101" i="139" s="1"/>
  <c r="Q100" i="139"/>
  <c r="T100" i="139" s="1"/>
  <c r="Q99" i="139"/>
  <c r="T99" i="139" s="1"/>
  <c r="Q98" i="139"/>
  <c r="Q97" i="139"/>
  <c r="T97" i="139" s="1"/>
  <c r="Q96" i="139"/>
  <c r="T96" i="139" s="1"/>
  <c r="Q95" i="139"/>
  <c r="T95" i="139" s="1"/>
  <c r="Q94" i="139"/>
  <c r="Q93" i="139"/>
  <c r="T93" i="139" s="1"/>
  <c r="Q92" i="139"/>
  <c r="T92" i="139" s="1"/>
  <c r="Q91" i="139"/>
  <c r="T91" i="139" s="1"/>
  <c r="Q90" i="139"/>
  <c r="Q89" i="139"/>
  <c r="T89" i="139" s="1"/>
  <c r="Q88" i="139"/>
  <c r="T88" i="139" s="1"/>
  <c r="Q87" i="139"/>
  <c r="T87" i="139" s="1"/>
  <c r="Q86" i="139"/>
  <c r="Q85" i="139"/>
  <c r="T85" i="139" s="1"/>
  <c r="Q84" i="139"/>
  <c r="T84" i="139" s="1"/>
  <c r="Q83" i="139"/>
  <c r="T83" i="139" s="1"/>
  <c r="Q82" i="139"/>
  <c r="Q81" i="139"/>
  <c r="T81" i="139" s="1"/>
  <c r="Q80" i="139"/>
  <c r="T80" i="139" s="1"/>
  <c r="Q79" i="139"/>
  <c r="T79" i="139" s="1"/>
  <c r="Q78" i="139"/>
  <c r="Q77" i="139"/>
  <c r="T77" i="139" s="1"/>
  <c r="Q76" i="139"/>
  <c r="T76" i="139" s="1"/>
  <c r="Q75" i="139"/>
  <c r="T75" i="139" s="1"/>
  <c r="Q74" i="139"/>
  <c r="Q73" i="139"/>
  <c r="T73" i="139" s="1"/>
  <c r="Q72" i="139"/>
  <c r="T72" i="139" s="1"/>
  <c r="Q71" i="139"/>
  <c r="T71" i="139" s="1"/>
  <c r="Q69" i="139"/>
  <c r="T69" i="139" s="1"/>
  <c r="Q68" i="139"/>
  <c r="T68" i="139" s="1"/>
  <c r="Q67" i="139"/>
  <c r="T67" i="139" s="1"/>
  <c r="Q66" i="139"/>
  <c r="Q65" i="139"/>
  <c r="T65" i="139" s="1"/>
  <c r="Q64" i="139"/>
  <c r="T64" i="139" s="1"/>
  <c r="Q63" i="139"/>
  <c r="T63" i="139" s="1"/>
  <c r="Q62" i="139"/>
  <c r="Q61" i="139"/>
  <c r="T61" i="139" s="1"/>
  <c r="Q60" i="139"/>
  <c r="T60" i="139" s="1"/>
  <c r="Q59" i="139"/>
  <c r="T59" i="139" s="1"/>
  <c r="Q58" i="139"/>
  <c r="Q57" i="139"/>
  <c r="T57" i="139" s="1"/>
  <c r="Q56" i="139"/>
  <c r="T56" i="139" s="1"/>
  <c r="Q55" i="139"/>
  <c r="T55" i="139" s="1"/>
  <c r="Q54" i="139"/>
  <c r="Q53" i="139"/>
  <c r="T53" i="139" s="1"/>
  <c r="Q52" i="139"/>
  <c r="T52" i="139" s="1"/>
  <c r="Q51" i="139"/>
  <c r="T51" i="139" s="1"/>
  <c r="Q50" i="139"/>
  <c r="Q49" i="139"/>
  <c r="T49" i="139" s="1"/>
  <c r="Q48" i="139"/>
  <c r="T48" i="139" s="1"/>
  <c r="Q47" i="139"/>
  <c r="T47" i="139" s="1"/>
  <c r="Q46" i="139"/>
  <c r="Q45" i="139"/>
  <c r="T45" i="139" s="1"/>
  <c r="Q44" i="139"/>
  <c r="T44" i="139" s="1"/>
  <c r="Q42" i="139"/>
  <c r="Q41" i="139"/>
  <c r="T41" i="139" s="1"/>
  <c r="Q40" i="139"/>
  <c r="T40" i="139" s="1"/>
  <c r="Q39" i="139"/>
  <c r="T39" i="139" s="1"/>
  <c r="Q38" i="139"/>
  <c r="Q37" i="139"/>
  <c r="T37" i="139" s="1"/>
  <c r="Q36" i="139"/>
  <c r="T36" i="139" s="1"/>
  <c r="Q35" i="139"/>
  <c r="T35" i="139" s="1"/>
  <c r="Q34" i="139"/>
  <c r="Q33" i="139"/>
  <c r="T33" i="139" s="1"/>
  <c r="Q32" i="139"/>
  <c r="T32" i="139" s="1"/>
  <c r="Q31" i="139"/>
  <c r="T31" i="139" s="1"/>
  <c r="Q30" i="139"/>
  <c r="Q29" i="139"/>
  <c r="T29" i="139" s="1"/>
  <c r="Q28" i="139"/>
  <c r="T28" i="139" s="1"/>
  <c r="Q27" i="139"/>
  <c r="T27" i="139" s="1"/>
  <c r="Q26" i="139"/>
  <c r="Q25" i="139"/>
  <c r="T25" i="139" s="1"/>
  <c r="Q24" i="139"/>
  <c r="T24" i="139" s="1"/>
  <c r="Q23" i="139"/>
  <c r="T23" i="139" s="1"/>
  <c r="Q22" i="139"/>
  <c r="Q21" i="139"/>
  <c r="T21" i="139" s="1"/>
  <c r="Q20" i="139"/>
  <c r="T20" i="139" s="1"/>
  <c r="Q19" i="139"/>
  <c r="T19" i="139" s="1"/>
  <c r="Q18" i="139"/>
  <c r="Q17" i="139"/>
  <c r="T17" i="139" s="1"/>
  <c r="Q16" i="139"/>
  <c r="T16" i="139" s="1"/>
  <c r="Q15" i="139"/>
  <c r="T15" i="139" s="1"/>
  <c r="D5" i="139"/>
  <c r="D4" i="139"/>
  <c r="O193" i="83"/>
  <c r="G193" i="83"/>
  <c r="P192" i="83"/>
  <c r="O192" i="83"/>
  <c r="N192" i="83"/>
  <c r="M192" i="83"/>
  <c r="L192" i="83"/>
  <c r="K192" i="83"/>
  <c r="J192" i="83"/>
  <c r="I192" i="83"/>
  <c r="H192" i="83"/>
  <c r="G192" i="83"/>
  <c r="F192" i="83"/>
  <c r="E192" i="83"/>
  <c r="P191" i="83"/>
  <c r="O191" i="83"/>
  <c r="N191" i="83"/>
  <c r="M191" i="83"/>
  <c r="L191" i="83"/>
  <c r="K191" i="83"/>
  <c r="J191" i="83"/>
  <c r="I191" i="83"/>
  <c r="H191" i="83"/>
  <c r="G191" i="83"/>
  <c r="F191" i="83"/>
  <c r="E191" i="83"/>
  <c r="P190" i="83"/>
  <c r="O190" i="83"/>
  <c r="N190" i="83"/>
  <c r="M190" i="83"/>
  <c r="L190" i="83"/>
  <c r="K190" i="83"/>
  <c r="J190" i="83"/>
  <c r="I190" i="83"/>
  <c r="H190" i="83"/>
  <c r="G190" i="83"/>
  <c r="F190" i="83"/>
  <c r="E190" i="83"/>
  <c r="P189" i="83"/>
  <c r="O189" i="83"/>
  <c r="N189" i="83"/>
  <c r="M189" i="83"/>
  <c r="L189" i="83"/>
  <c r="K189" i="83"/>
  <c r="J189" i="83"/>
  <c r="I189" i="83"/>
  <c r="H189" i="83"/>
  <c r="G189" i="83"/>
  <c r="F189" i="83"/>
  <c r="E189" i="83"/>
  <c r="P188" i="83"/>
  <c r="O188" i="83"/>
  <c r="N188" i="83"/>
  <c r="M188" i="83"/>
  <c r="L188" i="83"/>
  <c r="K188" i="83"/>
  <c r="J188" i="83"/>
  <c r="I188" i="83"/>
  <c r="H188" i="83"/>
  <c r="G188" i="83"/>
  <c r="F188" i="83"/>
  <c r="E188" i="83"/>
  <c r="P187" i="83"/>
  <c r="O187" i="83"/>
  <c r="N187" i="83"/>
  <c r="M187" i="83"/>
  <c r="L187" i="83"/>
  <c r="K187" i="83"/>
  <c r="J187" i="83"/>
  <c r="I187" i="83"/>
  <c r="H187" i="83"/>
  <c r="G187" i="83"/>
  <c r="F187" i="83"/>
  <c r="E187" i="83"/>
  <c r="P184" i="83"/>
  <c r="O184" i="83"/>
  <c r="N184" i="83"/>
  <c r="M184" i="83"/>
  <c r="L184" i="83"/>
  <c r="J184" i="83"/>
  <c r="I184" i="83"/>
  <c r="H184" i="83"/>
  <c r="G184" i="83"/>
  <c r="F184" i="83"/>
  <c r="E184" i="83"/>
  <c r="P183" i="83"/>
  <c r="O183" i="83"/>
  <c r="N183" i="83"/>
  <c r="M183" i="83"/>
  <c r="L183" i="83"/>
  <c r="J183" i="83"/>
  <c r="I183" i="83"/>
  <c r="H183" i="83"/>
  <c r="G183" i="83"/>
  <c r="F183" i="83"/>
  <c r="E183" i="83"/>
  <c r="P182" i="83"/>
  <c r="O182" i="83"/>
  <c r="N182" i="83"/>
  <c r="M182" i="83"/>
  <c r="L182" i="83"/>
  <c r="J182" i="83"/>
  <c r="I182" i="83"/>
  <c r="H182" i="83"/>
  <c r="G182" i="83"/>
  <c r="F182" i="83"/>
  <c r="E182" i="83"/>
  <c r="P181" i="83"/>
  <c r="O181" i="83"/>
  <c r="N181" i="83"/>
  <c r="M181" i="83"/>
  <c r="L181" i="83"/>
  <c r="J181" i="83"/>
  <c r="I181" i="83"/>
  <c r="H181" i="83"/>
  <c r="G181" i="83"/>
  <c r="F181" i="83"/>
  <c r="E181" i="83"/>
  <c r="P180" i="83"/>
  <c r="O180" i="83"/>
  <c r="N180" i="83"/>
  <c r="M180" i="83"/>
  <c r="L180" i="83"/>
  <c r="J180" i="83"/>
  <c r="I180" i="83"/>
  <c r="H180" i="83"/>
  <c r="G180" i="83"/>
  <c r="F180" i="83"/>
  <c r="E180" i="83"/>
  <c r="P179" i="83"/>
  <c r="O179" i="83"/>
  <c r="N179" i="83"/>
  <c r="M179" i="83"/>
  <c r="L179" i="83"/>
  <c r="J179" i="83"/>
  <c r="I179" i="83"/>
  <c r="H179" i="83"/>
  <c r="G179" i="83"/>
  <c r="F179" i="83"/>
  <c r="E179" i="83"/>
  <c r="P178" i="83"/>
  <c r="O178" i="83"/>
  <c r="N178" i="83"/>
  <c r="M178" i="83"/>
  <c r="L178" i="83"/>
  <c r="J178" i="83"/>
  <c r="I178" i="83"/>
  <c r="H178" i="83"/>
  <c r="G178" i="83"/>
  <c r="F178" i="83"/>
  <c r="E178" i="83"/>
  <c r="P177" i="83"/>
  <c r="O177" i="83"/>
  <c r="N177" i="83"/>
  <c r="M177" i="83"/>
  <c r="L177" i="83"/>
  <c r="J177" i="83"/>
  <c r="I177" i="83"/>
  <c r="H177" i="83"/>
  <c r="G177" i="83"/>
  <c r="F177" i="83"/>
  <c r="E177" i="83"/>
  <c r="N168" i="83"/>
  <c r="M168" i="83"/>
  <c r="L168" i="83"/>
  <c r="K168" i="83"/>
  <c r="J168" i="83"/>
  <c r="H168" i="83"/>
  <c r="G168" i="83"/>
  <c r="F168" i="83"/>
  <c r="E168" i="83"/>
  <c r="J165" i="83"/>
  <c r="H165" i="83"/>
  <c r="G165" i="83"/>
  <c r="F165" i="83"/>
  <c r="E165" i="83"/>
  <c r="P164" i="83"/>
  <c r="O164" i="83"/>
  <c r="N164" i="83"/>
  <c r="M164" i="83"/>
  <c r="L164" i="83"/>
  <c r="K164" i="83"/>
  <c r="J164" i="83"/>
  <c r="I164" i="83"/>
  <c r="H164" i="83"/>
  <c r="G164" i="83"/>
  <c r="F164" i="83"/>
  <c r="E164" i="83"/>
  <c r="P157" i="83"/>
  <c r="O157" i="83"/>
  <c r="N157" i="83"/>
  <c r="M157" i="83"/>
  <c r="L157" i="83"/>
  <c r="K157" i="83"/>
  <c r="J157" i="83"/>
  <c r="I157" i="83"/>
  <c r="H157" i="83"/>
  <c r="G157" i="83"/>
  <c r="F157" i="83"/>
  <c r="E157" i="83"/>
  <c r="P156" i="83"/>
  <c r="O156" i="83"/>
  <c r="N156" i="83"/>
  <c r="M156" i="83"/>
  <c r="L156" i="83"/>
  <c r="K156" i="83"/>
  <c r="J156" i="83"/>
  <c r="I156" i="83"/>
  <c r="H156" i="83"/>
  <c r="G156" i="83"/>
  <c r="F156" i="83"/>
  <c r="E156" i="83"/>
  <c r="P155" i="83"/>
  <c r="O155" i="83"/>
  <c r="N155" i="83"/>
  <c r="M155" i="83"/>
  <c r="L155" i="83"/>
  <c r="K155" i="83"/>
  <c r="J155" i="83"/>
  <c r="I155" i="83"/>
  <c r="H155" i="83"/>
  <c r="G155" i="83"/>
  <c r="F155" i="83"/>
  <c r="E155" i="83"/>
  <c r="P154" i="83"/>
  <c r="O154" i="83"/>
  <c r="N154" i="83"/>
  <c r="M154" i="83"/>
  <c r="L154" i="83"/>
  <c r="K154" i="83"/>
  <c r="J154" i="83"/>
  <c r="I154" i="83"/>
  <c r="H154" i="83"/>
  <c r="G154" i="83"/>
  <c r="F154" i="83"/>
  <c r="E154" i="83"/>
  <c r="P153" i="83"/>
  <c r="O153" i="83"/>
  <c r="N153" i="83"/>
  <c r="M153" i="83"/>
  <c r="L153" i="83"/>
  <c r="K153" i="83"/>
  <c r="J153" i="83"/>
  <c r="I153" i="83"/>
  <c r="H153" i="83"/>
  <c r="G153" i="83"/>
  <c r="F153" i="83"/>
  <c r="E153" i="83"/>
  <c r="P152" i="83"/>
  <c r="O152" i="83"/>
  <c r="N152" i="83"/>
  <c r="M152" i="83"/>
  <c r="L152" i="83"/>
  <c r="K152" i="83"/>
  <c r="J152" i="83"/>
  <c r="I152" i="83"/>
  <c r="H152" i="83"/>
  <c r="G152" i="83"/>
  <c r="F152" i="83"/>
  <c r="E152" i="83"/>
  <c r="P151" i="83"/>
  <c r="O151" i="83"/>
  <c r="N151" i="83"/>
  <c r="M151" i="83"/>
  <c r="L151" i="83"/>
  <c r="K151" i="83"/>
  <c r="J151" i="83"/>
  <c r="I151" i="83"/>
  <c r="H151" i="83"/>
  <c r="G151" i="83"/>
  <c r="F151" i="83"/>
  <c r="E151" i="83"/>
  <c r="P150" i="83"/>
  <c r="O150" i="83"/>
  <c r="N150" i="83"/>
  <c r="M150" i="83"/>
  <c r="L150" i="83"/>
  <c r="K150" i="83"/>
  <c r="J150" i="83"/>
  <c r="I150" i="83"/>
  <c r="H150" i="83"/>
  <c r="G150" i="83"/>
  <c r="F150" i="83"/>
  <c r="E150" i="83"/>
  <c r="P149" i="83"/>
  <c r="O149" i="83"/>
  <c r="N149" i="83"/>
  <c r="M149" i="83"/>
  <c r="L149" i="83"/>
  <c r="K149" i="83"/>
  <c r="J149" i="83"/>
  <c r="I149" i="83"/>
  <c r="H149" i="83"/>
  <c r="G149" i="83"/>
  <c r="F149" i="83"/>
  <c r="E149" i="83"/>
  <c r="P148" i="83"/>
  <c r="O148" i="83"/>
  <c r="N148" i="83"/>
  <c r="M148" i="83"/>
  <c r="L148" i="83"/>
  <c r="K148" i="83"/>
  <c r="J148" i="83"/>
  <c r="I148" i="83"/>
  <c r="H148" i="83"/>
  <c r="G148" i="83"/>
  <c r="F148" i="83"/>
  <c r="E148" i="83"/>
  <c r="P147" i="83"/>
  <c r="O147" i="83"/>
  <c r="N147" i="83"/>
  <c r="M147" i="83"/>
  <c r="L147" i="83"/>
  <c r="K147" i="83"/>
  <c r="J147" i="83"/>
  <c r="I147" i="83"/>
  <c r="H147" i="83"/>
  <c r="G147" i="83"/>
  <c r="F147" i="83"/>
  <c r="E147" i="83"/>
  <c r="P146" i="83"/>
  <c r="O146" i="83"/>
  <c r="N146" i="83"/>
  <c r="M146" i="83"/>
  <c r="L146" i="83"/>
  <c r="K146" i="83"/>
  <c r="J146" i="83"/>
  <c r="I146" i="83"/>
  <c r="H146" i="83"/>
  <c r="G146" i="83"/>
  <c r="F146" i="83"/>
  <c r="E146" i="83"/>
  <c r="P145" i="83"/>
  <c r="O145" i="83"/>
  <c r="N145" i="83"/>
  <c r="M145" i="83"/>
  <c r="L145" i="83"/>
  <c r="K145" i="83"/>
  <c r="J145" i="83"/>
  <c r="I145" i="83"/>
  <c r="H145" i="83"/>
  <c r="G145" i="83"/>
  <c r="F145" i="83"/>
  <c r="E145" i="83"/>
  <c r="P144" i="83"/>
  <c r="O144" i="83"/>
  <c r="N144" i="83"/>
  <c r="M144" i="83"/>
  <c r="L144" i="83"/>
  <c r="K144" i="83"/>
  <c r="J144" i="83"/>
  <c r="I144" i="83"/>
  <c r="H144" i="83"/>
  <c r="G144" i="83"/>
  <c r="F144" i="83"/>
  <c r="E144" i="83"/>
  <c r="P143" i="83"/>
  <c r="O143" i="83"/>
  <c r="N143" i="83"/>
  <c r="M143" i="83"/>
  <c r="L143" i="83"/>
  <c r="K143" i="83"/>
  <c r="J143" i="83"/>
  <c r="I143" i="83"/>
  <c r="H143" i="83"/>
  <c r="G143" i="83"/>
  <c r="F143" i="83"/>
  <c r="E143" i="83"/>
  <c r="P142" i="83"/>
  <c r="O142" i="83"/>
  <c r="N142" i="83"/>
  <c r="M142" i="83"/>
  <c r="L142" i="83"/>
  <c r="K142" i="83"/>
  <c r="J142" i="83"/>
  <c r="I142" i="83"/>
  <c r="H142" i="83"/>
  <c r="G142" i="83"/>
  <c r="F142" i="83"/>
  <c r="E142" i="83"/>
  <c r="P141" i="83"/>
  <c r="O141" i="83"/>
  <c r="N141" i="83"/>
  <c r="M141" i="83"/>
  <c r="L141" i="83"/>
  <c r="K141" i="83"/>
  <c r="J141" i="83"/>
  <c r="I141" i="83"/>
  <c r="H141" i="83"/>
  <c r="G141" i="83"/>
  <c r="F141" i="83"/>
  <c r="E141" i="83"/>
  <c r="P140" i="83"/>
  <c r="O140" i="83"/>
  <c r="N140" i="83"/>
  <c r="M140" i="83"/>
  <c r="L140" i="83"/>
  <c r="K140" i="83"/>
  <c r="J140" i="83"/>
  <c r="I140" i="83"/>
  <c r="H140" i="83"/>
  <c r="G140" i="83"/>
  <c r="F140" i="83"/>
  <c r="E140" i="83"/>
  <c r="P139" i="83"/>
  <c r="O139" i="83"/>
  <c r="N139" i="83"/>
  <c r="M139" i="83"/>
  <c r="L139" i="83"/>
  <c r="K139" i="83"/>
  <c r="J139" i="83"/>
  <c r="I139" i="83"/>
  <c r="H139" i="83"/>
  <c r="G139" i="83"/>
  <c r="F139" i="83"/>
  <c r="E139" i="83"/>
  <c r="P138" i="83"/>
  <c r="O138" i="83"/>
  <c r="N138" i="83"/>
  <c r="M138" i="83"/>
  <c r="L138" i="83"/>
  <c r="K138" i="83"/>
  <c r="J138" i="83"/>
  <c r="I138" i="83"/>
  <c r="H138" i="83"/>
  <c r="G138" i="83"/>
  <c r="F138" i="83"/>
  <c r="E138" i="83"/>
  <c r="P137" i="83"/>
  <c r="O137" i="83"/>
  <c r="N137" i="83"/>
  <c r="M137" i="83"/>
  <c r="L137" i="83"/>
  <c r="K137" i="83"/>
  <c r="J137" i="83"/>
  <c r="I137" i="83"/>
  <c r="H137" i="83"/>
  <c r="G137" i="83"/>
  <c r="F137" i="83"/>
  <c r="E137" i="83"/>
  <c r="P136" i="83"/>
  <c r="O136" i="83"/>
  <c r="N136" i="83"/>
  <c r="M136" i="83"/>
  <c r="L136" i="83"/>
  <c r="K136" i="83"/>
  <c r="J136" i="83"/>
  <c r="I136" i="83"/>
  <c r="H136" i="83"/>
  <c r="G136" i="83"/>
  <c r="F136" i="83"/>
  <c r="E136" i="83"/>
  <c r="P135" i="83"/>
  <c r="O135" i="83"/>
  <c r="N135" i="83"/>
  <c r="M135" i="83"/>
  <c r="L135" i="83"/>
  <c r="K135" i="83"/>
  <c r="J135" i="83"/>
  <c r="I135" i="83"/>
  <c r="H135" i="83"/>
  <c r="G135" i="83"/>
  <c r="F135" i="83"/>
  <c r="E135" i="83"/>
  <c r="P134" i="83"/>
  <c r="O134" i="83"/>
  <c r="N134" i="83"/>
  <c r="M134" i="83"/>
  <c r="L134" i="83"/>
  <c r="K134" i="83"/>
  <c r="J134" i="83"/>
  <c r="I134" i="83"/>
  <c r="H134" i="83"/>
  <c r="G134" i="83"/>
  <c r="F134" i="83"/>
  <c r="E134" i="83"/>
  <c r="P133" i="83"/>
  <c r="O133" i="83"/>
  <c r="N133" i="83"/>
  <c r="M133" i="83"/>
  <c r="L133" i="83"/>
  <c r="K133" i="83"/>
  <c r="J133" i="83"/>
  <c r="I133" i="83"/>
  <c r="H133" i="83"/>
  <c r="G133" i="83"/>
  <c r="F133" i="83"/>
  <c r="E133" i="83"/>
  <c r="P132" i="83"/>
  <c r="O132" i="83"/>
  <c r="N132" i="83"/>
  <c r="M132" i="83"/>
  <c r="L132" i="83"/>
  <c r="K132" i="83"/>
  <c r="J132" i="83"/>
  <c r="I132" i="83"/>
  <c r="H132" i="83"/>
  <c r="G132" i="83"/>
  <c r="F132" i="83"/>
  <c r="E132" i="83"/>
  <c r="P131" i="83"/>
  <c r="O131" i="83"/>
  <c r="N131" i="83"/>
  <c r="M131" i="83"/>
  <c r="L131" i="83"/>
  <c r="K131" i="83"/>
  <c r="J131" i="83"/>
  <c r="I131" i="83"/>
  <c r="H131" i="83"/>
  <c r="G131" i="83"/>
  <c r="F131" i="83"/>
  <c r="E131" i="83"/>
  <c r="P130" i="83"/>
  <c r="O130" i="83"/>
  <c r="N130" i="83"/>
  <c r="M130" i="83"/>
  <c r="L130" i="83"/>
  <c r="K130" i="83"/>
  <c r="J130" i="83"/>
  <c r="I130" i="83"/>
  <c r="H130" i="83"/>
  <c r="G130" i="83"/>
  <c r="F130" i="83"/>
  <c r="E130" i="83"/>
  <c r="P129" i="83"/>
  <c r="O129" i="83"/>
  <c r="N129" i="83"/>
  <c r="M129" i="83"/>
  <c r="L129" i="83"/>
  <c r="K129" i="83"/>
  <c r="J129" i="83"/>
  <c r="I129" i="83"/>
  <c r="H129" i="83"/>
  <c r="G129" i="83"/>
  <c r="F129" i="83"/>
  <c r="E129" i="83"/>
  <c r="P128" i="83"/>
  <c r="O128" i="83"/>
  <c r="N128" i="83"/>
  <c r="M128" i="83"/>
  <c r="L128" i="83"/>
  <c r="K128" i="83"/>
  <c r="J128" i="83"/>
  <c r="I128" i="83"/>
  <c r="H128" i="83"/>
  <c r="G128" i="83"/>
  <c r="F128" i="83"/>
  <c r="E128" i="83"/>
  <c r="P127" i="83"/>
  <c r="O127" i="83"/>
  <c r="N127" i="83"/>
  <c r="M127" i="83"/>
  <c r="L127" i="83"/>
  <c r="K127" i="83"/>
  <c r="J127" i="83"/>
  <c r="I127" i="83"/>
  <c r="H127" i="83"/>
  <c r="G127" i="83"/>
  <c r="F127" i="83"/>
  <c r="E127" i="83"/>
  <c r="P126" i="83"/>
  <c r="O126" i="83"/>
  <c r="N126" i="83"/>
  <c r="M126" i="83"/>
  <c r="L126" i="83"/>
  <c r="K126" i="83"/>
  <c r="J126" i="83"/>
  <c r="I126" i="83"/>
  <c r="H126" i="83"/>
  <c r="G126" i="83"/>
  <c r="F126" i="83"/>
  <c r="E126" i="83"/>
  <c r="P125" i="83"/>
  <c r="O125" i="83"/>
  <c r="N125" i="83"/>
  <c r="M125" i="83"/>
  <c r="L125" i="83"/>
  <c r="K125" i="83"/>
  <c r="J125" i="83"/>
  <c r="I125" i="83"/>
  <c r="H125" i="83"/>
  <c r="G125" i="83"/>
  <c r="F125" i="83"/>
  <c r="E125" i="83"/>
  <c r="P124" i="83"/>
  <c r="O124" i="83"/>
  <c r="N124" i="83"/>
  <c r="M124" i="83"/>
  <c r="L124" i="83"/>
  <c r="K124" i="83"/>
  <c r="J124" i="83"/>
  <c r="I124" i="83"/>
  <c r="H124" i="83"/>
  <c r="G124" i="83"/>
  <c r="F124" i="83"/>
  <c r="E124" i="83"/>
  <c r="P123" i="83"/>
  <c r="O123" i="83"/>
  <c r="N123" i="83"/>
  <c r="M123" i="83"/>
  <c r="L123" i="83"/>
  <c r="K123" i="83"/>
  <c r="J123" i="83"/>
  <c r="I123" i="83"/>
  <c r="H123" i="83"/>
  <c r="G123" i="83"/>
  <c r="F123" i="83"/>
  <c r="E123" i="83"/>
  <c r="P122" i="83"/>
  <c r="O122" i="83"/>
  <c r="N122" i="83"/>
  <c r="M122" i="83"/>
  <c r="L122" i="83"/>
  <c r="K122" i="83"/>
  <c r="J122" i="83"/>
  <c r="I122" i="83"/>
  <c r="H122" i="83"/>
  <c r="G122" i="83"/>
  <c r="F122" i="83"/>
  <c r="E122" i="83"/>
  <c r="P121" i="83"/>
  <c r="O121" i="83"/>
  <c r="N121" i="83"/>
  <c r="M121" i="83"/>
  <c r="L121" i="83"/>
  <c r="K121" i="83"/>
  <c r="J121" i="83"/>
  <c r="I121" i="83"/>
  <c r="H121" i="83"/>
  <c r="G121" i="83"/>
  <c r="F121" i="83"/>
  <c r="E121" i="83"/>
  <c r="P120" i="83"/>
  <c r="O120" i="83"/>
  <c r="N120" i="83"/>
  <c r="M120" i="83"/>
  <c r="L120" i="83"/>
  <c r="K120" i="83"/>
  <c r="J120" i="83"/>
  <c r="I120" i="83"/>
  <c r="H120" i="83"/>
  <c r="G120" i="83"/>
  <c r="F120" i="83"/>
  <c r="E120" i="83"/>
  <c r="P119" i="83"/>
  <c r="O119" i="83"/>
  <c r="N119" i="83"/>
  <c r="M119" i="83"/>
  <c r="L119" i="83"/>
  <c r="K119" i="83"/>
  <c r="J119" i="83"/>
  <c r="I119" i="83"/>
  <c r="H119" i="83"/>
  <c r="G119" i="83"/>
  <c r="F119" i="83"/>
  <c r="E119" i="83"/>
  <c r="P118" i="83"/>
  <c r="O118" i="83"/>
  <c r="N118" i="83"/>
  <c r="M118" i="83"/>
  <c r="L118" i="83"/>
  <c r="K118" i="83"/>
  <c r="J118" i="83"/>
  <c r="I118" i="83"/>
  <c r="H118" i="83"/>
  <c r="G118" i="83"/>
  <c r="F118" i="83"/>
  <c r="E118" i="83"/>
  <c r="P117" i="83"/>
  <c r="O117" i="83"/>
  <c r="N117" i="83"/>
  <c r="M117" i="83"/>
  <c r="L117" i="83"/>
  <c r="K117" i="83"/>
  <c r="J117" i="83"/>
  <c r="I117" i="83"/>
  <c r="H117" i="83"/>
  <c r="G117" i="83"/>
  <c r="F117" i="83"/>
  <c r="E117" i="83"/>
  <c r="P116" i="83"/>
  <c r="O116" i="83"/>
  <c r="N116" i="83"/>
  <c r="M116" i="83"/>
  <c r="L116" i="83"/>
  <c r="K116" i="83"/>
  <c r="J116" i="83"/>
  <c r="I116" i="83"/>
  <c r="H116" i="83"/>
  <c r="G116" i="83"/>
  <c r="F116" i="83"/>
  <c r="E116" i="83"/>
  <c r="P115" i="83"/>
  <c r="O115" i="83"/>
  <c r="N115" i="83"/>
  <c r="M115" i="83"/>
  <c r="L115" i="83"/>
  <c r="K115" i="83"/>
  <c r="J115" i="83"/>
  <c r="I115" i="83"/>
  <c r="H115" i="83"/>
  <c r="G115" i="83"/>
  <c r="F115" i="83"/>
  <c r="E115" i="83"/>
  <c r="P114" i="83"/>
  <c r="O114" i="83"/>
  <c r="N114" i="83"/>
  <c r="M114" i="83"/>
  <c r="L114" i="83"/>
  <c r="K114" i="83"/>
  <c r="J114" i="83"/>
  <c r="I114" i="83"/>
  <c r="H114" i="83"/>
  <c r="G114" i="83"/>
  <c r="F114" i="83"/>
  <c r="E114" i="83"/>
  <c r="P113" i="83"/>
  <c r="O113" i="83"/>
  <c r="N113" i="83"/>
  <c r="M113" i="83"/>
  <c r="L113" i="83"/>
  <c r="K113" i="83"/>
  <c r="J113" i="83"/>
  <c r="I113" i="83"/>
  <c r="H113" i="83"/>
  <c r="G113" i="83"/>
  <c r="F113" i="83"/>
  <c r="E113" i="83"/>
  <c r="P112" i="83"/>
  <c r="O112" i="83"/>
  <c r="N112" i="83"/>
  <c r="M112" i="83"/>
  <c r="L112" i="83"/>
  <c r="K112" i="83"/>
  <c r="J112" i="83"/>
  <c r="I112" i="83"/>
  <c r="H112" i="83"/>
  <c r="G112" i="83"/>
  <c r="F112" i="83"/>
  <c r="E112" i="83"/>
  <c r="P111" i="83"/>
  <c r="O111" i="83"/>
  <c r="N111" i="83"/>
  <c r="M111" i="83"/>
  <c r="L111" i="83"/>
  <c r="K111" i="83"/>
  <c r="J111" i="83"/>
  <c r="I111" i="83"/>
  <c r="H111" i="83"/>
  <c r="G111" i="83"/>
  <c r="F111" i="83"/>
  <c r="E111" i="83"/>
  <c r="P110" i="83"/>
  <c r="O110" i="83"/>
  <c r="N110" i="83"/>
  <c r="M110" i="83"/>
  <c r="L110" i="83"/>
  <c r="K110" i="83"/>
  <c r="J110" i="83"/>
  <c r="I110" i="83"/>
  <c r="H110" i="83"/>
  <c r="G110" i="83"/>
  <c r="F110" i="83"/>
  <c r="E110" i="83"/>
  <c r="P109" i="83"/>
  <c r="O109" i="83"/>
  <c r="N109" i="83"/>
  <c r="M109" i="83"/>
  <c r="L109" i="83"/>
  <c r="K109" i="83"/>
  <c r="J109" i="83"/>
  <c r="I109" i="83"/>
  <c r="H109" i="83"/>
  <c r="G109" i="83"/>
  <c r="F109" i="83"/>
  <c r="E109" i="83"/>
  <c r="P108" i="83"/>
  <c r="O108" i="83"/>
  <c r="N108" i="83"/>
  <c r="M108" i="83"/>
  <c r="L108" i="83"/>
  <c r="K108" i="83"/>
  <c r="J108" i="83"/>
  <c r="I108" i="83"/>
  <c r="H108" i="83"/>
  <c r="G108" i="83"/>
  <c r="F108" i="83"/>
  <c r="E108" i="83"/>
  <c r="P107" i="83"/>
  <c r="O107" i="83"/>
  <c r="N107" i="83"/>
  <c r="M107" i="83"/>
  <c r="L107" i="83"/>
  <c r="K107" i="83"/>
  <c r="J107" i="83"/>
  <c r="I107" i="83"/>
  <c r="H107" i="83"/>
  <c r="G107" i="83"/>
  <c r="F107" i="83"/>
  <c r="E107" i="83"/>
  <c r="P106" i="83"/>
  <c r="O106" i="83"/>
  <c r="N106" i="83"/>
  <c r="M106" i="83"/>
  <c r="L106" i="83"/>
  <c r="K106" i="83"/>
  <c r="J106" i="83"/>
  <c r="I106" i="83"/>
  <c r="H106" i="83"/>
  <c r="G106" i="83"/>
  <c r="F106" i="83"/>
  <c r="E106" i="83"/>
  <c r="P105" i="83"/>
  <c r="O105" i="83"/>
  <c r="N105" i="83"/>
  <c r="M105" i="83"/>
  <c r="L105" i="83"/>
  <c r="K105" i="83"/>
  <c r="J105" i="83"/>
  <c r="I105" i="83"/>
  <c r="H105" i="83"/>
  <c r="G105" i="83"/>
  <c r="F105" i="83"/>
  <c r="E105" i="83"/>
  <c r="P104" i="83"/>
  <c r="O104" i="83"/>
  <c r="N104" i="83"/>
  <c r="M104" i="83"/>
  <c r="L104" i="83"/>
  <c r="K104" i="83"/>
  <c r="J104" i="83"/>
  <c r="I104" i="83"/>
  <c r="H104" i="83"/>
  <c r="G104" i="83"/>
  <c r="F104" i="83"/>
  <c r="E104" i="83"/>
  <c r="P103" i="83"/>
  <c r="O103" i="83"/>
  <c r="N103" i="83"/>
  <c r="M103" i="83"/>
  <c r="L103" i="83"/>
  <c r="K103" i="83"/>
  <c r="J103" i="83"/>
  <c r="I103" i="83"/>
  <c r="H103" i="83"/>
  <c r="G103" i="83"/>
  <c r="F103" i="83"/>
  <c r="E103" i="83"/>
  <c r="P102" i="83"/>
  <c r="O102" i="83"/>
  <c r="N102" i="83"/>
  <c r="M102" i="83"/>
  <c r="L102" i="83"/>
  <c r="K102" i="83"/>
  <c r="J102" i="83"/>
  <c r="I102" i="83"/>
  <c r="H102" i="83"/>
  <c r="G102" i="83"/>
  <c r="F102" i="83"/>
  <c r="E102" i="83"/>
  <c r="P101" i="83"/>
  <c r="O101" i="83"/>
  <c r="N101" i="83"/>
  <c r="M101" i="83"/>
  <c r="L101" i="83"/>
  <c r="K101" i="83"/>
  <c r="J101" i="83"/>
  <c r="I101" i="83"/>
  <c r="H101" i="83"/>
  <c r="G101" i="83"/>
  <c r="F101" i="83"/>
  <c r="E101" i="83"/>
  <c r="P100" i="83"/>
  <c r="O100" i="83"/>
  <c r="N100" i="83"/>
  <c r="M100" i="83"/>
  <c r="L100" i="83"/>
  <c r="K100" i="83"/>
  <c r="J100" i="83"/>
  <c r="I100" i="83"/>
  <c r="H100" i="83"/>
  <c r="G100" i="83"/>
  <c r="F100" i="83"/>
  <c r="E100" i="83"/>
  <c r="P99" i="83"/>
  <c r="O99" i="83"/>
  <c r="N99" i="83"/>
  <c r="M99" i="83"/>
  <c r="L99" i="83"/>
  <c r="K99" i="83"/>
  <c r="J99" i="83"/>
  <c r="I99" i="83"/>
  <c r="H99" i="83"/>
  <c r="G99" i="83"/>
  <c r="F99" i="83"/>
  <c r="E99" i="83"/>
  <c r="P98" i="83"/>
  <c r="O98" i="83"/>
  <c r="N98" i="83"/>
  <c r="M98" i="83"/>
  <c r="L98" i="83"/>
  <c r="K98" i="83"/>
  <c r="J98" i="83"/>
  <c r="I98" i="83"/>
  <c r="H98" i="83"/>
  <c r="G98" i="83"/>
  <c r="F98" i="83"/>
  <c r="E98" i="83"/>
  <c r="P97" i="83"/>
  <c r="O97" i="83"/>
  <c r="N97" i="83"/>
  <c r="M97" i="83"/>
  <c r="L97" i="83"/>
  <c r="K97" i="83"/>
  <c r="J97" i="83"/>
  <c r="I97" i="83"/>
  <c r="H97" i="83"/>
  <c r="G97" i="83"/>
  <c r="F97" i="83"/>
  <c r="E97" i="83"/>
  <c r="P96" i="83"/>
  <c r="O96" i="83"/>
  <c r="N96" i="83"/>
  <c r="M96" i="83"/>
  <c r="L96" i="83"/>
  <c r="K96" i="83"/>
  <c r="J96" i="83"/>
  <c r="I96" i="83"/>
  <c r="H96" i="83"/>
  <c r="G96" i="83"/>
  <c r="F96" i="83"/>
  <c r="E96" i="83"/>
  <c r="P95" i="83"/>
  <c r="O95" i="83"/>
  <c r="N95" i="83"/>
  <c r="M95" i="83"/>
  <c r="L95" i="83"/>
  <c r="K95" i="83"/>
  <c r="J95" i="83"/>
  <c r="I95" i="83"/>
  <c r="H95" i="83"/>
  <c r="G95" i="83"/>
  <c r="F95" i="83"/>
  <c r="E95" i="83"/>
  <c r="P94" i="83"/>
  <c r="O94" i="83"/>
  <c r="N94" i="83"/>
  <c r="M94" i="83"/>
  <c r="L94" i="83"/>
  <c r="K94" i="83"/>
  <c r="J94" i="83"/>
  <c r="I94" i="83"/>
  <c r="H94" i="83"/>
  <c r="G94" i="83"/>
  <c r="F94" i="83"/>
  <c r="E94" i="83"/>
  <c r="P93" i="83"/>
  <c r="O93" i="83"/>
  <c r="N93" i="83"/>
  <c r="M93" i="83"/>
  <c r="L93" i="83"/>
  <c r="K93" i="83"/>
  <c r="J93" i="83"/>
  <c r="I93" i="83"/>
  <c r="H93" i="83"/>
  <c r="G93" i="83"/>
  <c r="F93" i="83"/>
  <c r="E93" i="83"/>
  <c r="P92" i="83"/>
  <c r="O92" i="83"/>
  <c r="N92" i="83"/>
  <c r="M92" i="83"/>
  <c r="L92" i="83"/>
  <c r="K92" i="83"/>
  <c r="J92" i="83"/>
  <c r="I92" i="83"/>
  <c r="H92" i="83"/>
  <c r="G92" i="83"/>
  <c r="F92" i="83"/>
  <c r="E92" i="83"/>
  <c r="P91" i="83"/>
  <c r="O91" i="83"/>
  <c r="N91" i="83"/>
  <c r="M91" i="83"/>
  <c r="L91" i="83"/>
  <c r="K91" i="83"/>
  <c r="J91" i="83"/>
  <c r="I91" i="83"/>
  <c r="H91" i="83"/>
  <c r="G91" i="83"/>
  <c r="F91" i="83"/>
  <c r="E91" i="83"/>
  <c r="P89" i="83"/>
  <c r="O89" i="83"/>
  <c r="N89" i="83"/>
  <c r="M89" i="83"/>
  <c r="L89" i="83"/>
  <c r="K89" i="83"/>
  <c r="J89" i="83"/>
  <c r="I89" i="83"/>
  <c r="H89" i="83"/>
  <c r="G89" i="83"/>
  <c r="F89" i="83"/>
  <c r="E89" i="83"/>
  <c r="P88" i="83"/>
  <c r="O88" i="83"/>
  <c r="N88" i="83"/>
  <c r="M88" i="83"/>
  <c r="L88" i="83"/>
  <c r="K88" i="83"/>
  <c r="J88" i="83"/>
  <c r="I88" i="83"/>
  <c r="H88" i="83"/>
  <c r="G88" i="83"/>
  <c r="F88" i="83"/>
  <c r="E88" i="83"/>
  <c r="P86" i="83"/>
  <c r="O86" i="83"/>
  <c r="N86" i="83"/>
  <c r="M86" i="83"/>
  <c r="L86" i="83"/>
  <c r="K86" i="83"/>
  <c r="J86" i="83"/>
  <c r="I86" i="83"/>
  <c r="H86" i="83"/>
  <c r="G86" i="83"/>
  <c r="F86" i="83"/>
  <c r="E86" i="83"/>
  <c r="P85" i="83"/>
  <c r="O85" i="83"/>
  <c r="N85" i="83"/>
  <c r="M85" i="83"/>
  <c r="L85" i="83"/>
  <c r="K85" i="83"/>
  <c r="J85" i="83"/>
  <c r="I85" i="83"/>
  <c r="H85" i="83"/>
  <c r="G85" i="83"/>
  <c r="F85" i="83"/>
  <c r="E85" i="83"/>
  <c r="P84" i="83"/>
  <c r="O84" i="83"/>
  <c r="N84" i="83"/>
  <c r="M84" i="83"/>
  <c r="L84" i="83"/>
  <c r="K84" i="83"/>
  <c r="J84" i="83"/>
  <c r="I84" i="83"/>
  <c r="H84" i="83"/>
  <c r="G84" i="83"/>
  <c r="F84" i="83"/>
  <c r="E84" i="83"/>
  <c r="P83" i="83"/>
  <c r="O83" i="83"/>
  <c r="N83" i="83"/>
  <c r="M83" i="83"/>
  <c r="L83" i="83"/>
  <c r="K83" i="83"/>
  <c r="J83" i="83"/>
  <c r="I83" i="83"/>
  <c r="H83" i="83"/>
  <c r="G83" i="83"/>
  <c r="F83" i="83"/>
  <c r="E83" i="83"/>
  <c r="P82" i="83"/>
  <c r="O82" i="83"/>
  <c r="N82" i="83"/>
  <c r="M82" i="83"/>
  <c r="L82" i="83"/>
  <c r="K82" i="83"/>
  <c r="J82" i="83"/>
  <c r="I82" i="83"/>
  <c r="H82" i="83"/>
  <c r="G82" i="83"/>
  <c r="F82" i="83"/>
  <c r="E82" i="83"/>
  <c r="P81" i="83"/>
  <c r="O81" i="83"/>
  <c r="N81" i="83"/>
  <c r="M81" i="83"/>
  <c r="L81" i="83"/>
  <c r="K81" i="83"/>
  <c r="J81" i="83"/>
  <c r="I81" i="83"/>
  <c r="H81" i="83"/>
  <c r="G81" i="83"/>
  <c r="F81" i="83"/>
  <c r="E81" i="83"/>
  <c r="P80" i="83"/>
  <c r="O80" i="83"/>
  <c r="N80" i="83"/>
  <c r="M80" i="83"/>
  <c r="L80" i="83"/>
  <c r="K80" i="83"/>
  <c r="J80" i="83"/>
  <c r="I80" i="83"/>
  <c r="H80" i="83"/>
  <c r="G80" i="83"/>
  <c r="F80" i="83"/>
  <c r="E80" i="83"/>
  <c r="P79" i="83"/>
  <c r="O79" i="83"/>
  <c r="N79" i="83"/>
  <c r="M79" i="83"/>
  <c r="L79" i="83"/>
  <c r="K79" i="83"/>
  <c r="J79" i="83"/>
  <c r="I79" i="83"/>
  <c r="H79" i="83"/>
  <c r="G79" i="83"/>
  <c r="F79" i="83"/>
  <c r="E79" i="83"/>
  <c r="P78" i="83"/>
  <c r="O78" i="83"/>
  <c r="N78" i="83"/>
  <c r="M78" i="83"/>
  <c r="L78" i="83"/>
  <c r="K78" i="83"/>
  <c r="J78" i="83"/>
  <c r="I78" i="83"/>
  <c r="H78" i="83"/>
  <c r="G78" i="83"/>
  <c r="F78" i="83"/>
  <c r="E78" i="83"/>
  <c r="P77" i="83"/>
  <c r="O77" i="83"/>
  <c r="N77" i="83"/>
  <c r="M77" i="83"/>
  <c r="L77" i="83"/>
  <c r="K77" i="83"/>
  <c r="J77" i="83"/>
  <c r="I77" i="83"/>
  <c r="H77" i="83"/>
  <c r="G77" i="83"/>
  <c r="F77" i="83"/>
  <c r="E77" i="83"/>
  <c r="P76" i="83"/>
  <c r="O76" i="83"/>
  <c r="N76" i="83"/>
  <c r="M76" i="83"/>
  <c r="L76" i="83"/>
  <c r="K76" i="83"/>
  <c r="J76" i="83"/>
  <c r="I76" i="83"/>
  <c r="H76" i="83"/>
  <c r="G76" i="83"/>
  <c r="F76" i="83"/>
  <c r="E76" i="83"/>
  <c r="P75" i="83"/>
  <c r="O75" i="83"/>
  <c r="N75" i="83"/>
  <c r="M75" i="83"/>
  <c r="L75" i="83"/>
  <c r="K75" i="83"/>
  <c r="J75" i="83"/>
  <c r="I75" i="83"/>
  <c r="H75" i="83"/>
  <c r="G75" i="83"/>
  <c r="F75" i="83"/>
  <c r="E75" i="83"/>
  <c r="P74" i="83"/>
  <c r="O74" i="83"/>
  <c r="N74" i="83"/>
  <c r="M74" i="83"/>
  <c r="L74" i="83"/>
  <c r="K74" i="83"/>
  <c r="J74" i="83"/>
  <c r="I74" i="83"/>
  <c r="H74" i="83"/>
  <c r="G74" i="83"/>
  <c r="F74" i="83"/>
  <c r="E74" i="83"/>
  <c r="P73" i="83"/>
  <c r="O73" i="83"/>
  <c r="N73" i="83"/>
  <c r="M73" i="83"/>
  <c r="L73" i="83"/>
  <c r="K73" i="83"/>
  <c r="J73" i="83"/>
  <c r="I73" i="83"/>
  <c r="H73" i="83"/>
  <c r="G73" i="83"/>
  <c r="F73" i="83"/>
  <c r="E73" i="83"/>
  <c r="P72" i="83"/>
  <c r="O72" i="83"/>
  <c r="N72" i="83"/>
  <c r="M72" i="83"/>
  <c r="L72" i="83"/>
  <c r="K72" i="83"/>
  <c r="J72" i="83"/>
  <c r="I72" i="83"/>
  <c r="H72" i="83"/>
  <c r="G72" i="83"/>
  <c r="F72" i="83"/>
  <c r="E72" i="83"/>
  <c r="P71" i="83"/>
  <c r="O71" i="83"/>
  <c r="N71" i="83"/>
  <c r="M71" i="83"/>
  <c r="L71" i="83"/>
  <c r="K71" i="83"/>
  <c r="J71" i="83"/>
  <c r="I71" i="83"/>
  <c r="H71" i="83"/>
  <c r="G71" i="83"/>
  <c r="F71" i="83"/>
  <c r="E71" i="83"/>
  <c r="P69" i="83"/>
  <c r="O69" i="83"/>
  <c r="N69" i="83"/>
  <c r="M69" i="83"/>
  <c r="L69" i="83"/>
  <c r="K69" i="83"/>
  <c r="J69" i="83"/>
  <c r="I69" i="83"/>
  <c r="H69" i="83"/>
  <c r="G69" i="83"/>
  <c r="F69" i="83"/>
  <c r="E69" i="83"/>
  <c r="P68" i="83"/>
  <c r="O68" i="83"/>
  <c r="N68" i="83"/>
  <c r="M68" i="83"/>
  <c r="L68" i="83"/>
  <c r="K68" i="83"/>
  <c r="J68" i="83"/>
  <c r="I68" i="83"/>
  <c r="H68" i="83"/>
  <c r="G68" i="83"/>
  <c r="F68" i="83"/>
  <c r="E68" i="83"/>
  <c r="P67" i="83"/>
  <c r="O67" i="83"/>
  <c r="N67" i="83"/>
  <c r="M67" i="83"/>
  <c r="L67" i="83"/>
  <c r="K67" i="83"/>
  <c r="J67" i="83"/>
  <c r="I67" i="83"/>
  <c r="H67" i="83"/>
  <c r="G67" i="83"/>
  <c r="F67" i="83"/>
  <c r="E67" i="83"/>
  <c r="P66" i="83"/>
  <c r="O66" i="83"/>
  <c r="N66" i="83"/>
  <c r="M66" i="83"/>
  <c r="L66" i="83"/>
  <c r="K66" i="83"/>
  <c r="J66" i="83"/>
  <c r="I66" i="83"/>
  <c r="H66" i="83"/>
  <c r="G66" i="83"/>
  <c r="F66" i="83"/>
  <c r="E66" i="83"/>
  <c r="P65" i="83"/>
  <c r="O65" i="83"/>
  <c r="N65" i="83"/>
  <c r="M65" i="83"/>
  <c r="L65" i="83"/>
  <c r="K65" i="83"/>
  <c r="J65" i="83"/>
  <c r="I65" i="83"/>
  <c r="H65" i="83"/>
  <c r="G65" i="83"/>
  <c r="F65" i="83"/>
  <c r="E65" i="83"/>
  <c r="P64" i="83"/>
  <c r="O64" i="83"/>
  <c r="N64" i="83"/>
  <c r="M64" i="83"/>
  <c r="L64" i="83"/>
  <c r="K64" i="83"/>
  <c r="J64" i="83"/>
  <c r="I64" i="83"/>
  <c r="H64" i="83"/>
  <c r="G64" i="83"/>
  <c r="F64" i="83"/>
  <c r="E64" i="83"/>
  <c r="P63" i="83"/>
  <c r="O63" i="83"/>
  <c r="N63" i="83"/>
  <c r="M63" i="83"/>
  <c r="L63" i="83"/>
  <c r="K63" i="83"/>
  <c r="J63" i="83"/>
  <c r="I63" i="83"/>
  <c r="H63" i="83"/>
  <c r="G63" i="83"/>
  <c r="F63" i="83"/>
  <c r="E63" i="83"/>
  <c r="P62" i="83"/>
  <c r="O62" i="83"/>
  <c r="N62" i="83"/>
  <c r="M62" i="83"/>
  <c r="L62" i="83"/>
  <c r="K62" i="83"/>
  <c r="J62" i="83"/>
  <c r="I62" i="83"/>
  <c r="H62" i="83"/>
  <c r="G62" i="83"/>
  <c r="F62" i="83"/>
  <c r="E62" i="83"/>
  <c r="P61" i="83"/>
  <c r="O61" i="83"/>
  <c r="N61" i="83"/>
  <c r="M61" i="83"/>
  <c r="L61" i="83"/>
  <c r="K61" i="83"/>
  <c r="J61" i="83"/>
  <c r="I61" i="83"/>
  <c r="H61" i="83"/>
  <c r="G61" i="83"/>
  <c r="F61" i="83"/>
  <c r="E61" i="83"/>
  <c r="P60" i="83"/>
  <c r="O60" i="83"/>
  <c r="N60" i="83"/>
  <c r="M60" i="83"/>
  <c r="L60" i="83"/>
  <c r="K60" i="83"/>
  <c r="J60" i="83"/>
  <c r="I60" i="83"/>
  <c r="H60" i="83"/>
  <c r="G60" i="83"/>
  <c r="F60" i="83"/>
  <c r="E60" i="83"/>
  <c r="P59" i="83"/>
  <c r="O59" i="83"/>
  <c r="N59" i="83"/>
  <c r="M59" i="83"/>
  <c r="L59" i="83"/>
  <c r="K59" i="83"/>
  <c r="J59" i="83"/>
  <c r="I59" i="83"/>
  <c r="H59" i="83"/>
  <c r="G59" i="83"/>
  <c r="F59" i="83"/>
  <c r="E59" i="83"/>
  <c r="P58" i="83"/>
  <c r="O58" i="83"/>
  <c r="N58" i="83"/>
  <c r="M58" i="83"/>
  <c r="L58" i="83"/>
  <c r="K58" i="83"/>
  <c r="J58" i="83"/>
  <c r="I58" i="83"/>
  <c r="H58" i="83"/>
  <c r="G58" i="83"/>
  <c r="F58" i="83"/>
  <c r="E58" i="83"/>
  <c r="P57" i="83"/>
  <c r="O57" i="83"/>
  <c r="N57" i="83"/>
  <c r="M57" i="83"/>
  <c r="L57" i="83"/>
  <c r="K57" i="83"/>
  <c r="J57" i="83"/>
  <c r="I57" i="83"/>
  <c r="H57" i="83"/>
  <c r="G57" i="83"/>
  <c r="F57" i="83"/>
  <c r="E57" i="83"/>
  <c r="P56" i="83"/>
  <c r="O56" i="83"/>
  <c r="N56" i="83"/>
  <c r="M56" i="83"/>
  <c r="L56" i="83"/>
  <c r="K56" i="83"/>
  <c r="J56" i="83"/>
  <c r="I56" i="83"/>
  <c r="H56" i="83"/>
  <c r="G56" i="83"/>
  <c r="F56" i="83"/>
  <c r="E56" i="83"/>
  <c r="P55" i="83"/>
  <c r="O55" i="83"/>
  <c r="N55" i="83"/>
  <c r="M55" i="83"/>
  <c r="L55" i="83"/>
  <c r="K55" i="83"/>
  <c r="J55" i="83"/>
  <c r="I55" i="83"/>
  <c r="H55" i="83"/>
  <c r="G55" i="83"/>
  <c r="F55" i="83"/>
  <c r="E55" i="83"/>
  <c r="P54" i="83"/>
  <c r="O54" i="83"/>
  <c r="N54" i="83"/>
  <c r="M54" i="83"/>
  <c r="L54" i="83"/>
  <c r="K54" i="83"/>
  <c r="J54" i="83"/>
  <c r="I54" i="83"/>
  <c r="H54" i="83"/>
  <c r="G54" i="83"/>
  <c r="F54" i="83"/>
  <c r="E54" i="83"/>
  <c r="P53" i="83"/>
  <c r="O53" i="83"/>
  <c r="N53" i="83"/>
  <c r="M53" i="83"/>
  <c r="L53" i="83"/>
  <c r="K53" i="83"/>
  <c r="J53" i="83"/>
  <c r="I53" i="83"/>
  <c r="H53" i="83"/>
  <c r="G53" i="83"/>
  <c r="F53" i="83"/>
  <c r="E53" i="83"/>
  <c r="P52" i="83"/>
  <c r="O52" i="83"/>
  <c r="N52" i="83"/>
  <c r="M52" i="83"/>
  <c r="L52" i="83"/>
  <c r="K52" i="83"/>
  <c r="J52" i="83"/>
  <c r="I52" i="83"/>
  <c r="H52" i="83"/>
  <c r="G52" i="83"/>
  <c r="F52" i="83"/>
  <c r="E52" i="83"/>
  <c r="P51" i="83"/>
  <c r="O51" i="83"/>
  <c r="N51" i="83"/>
  <c r="M51" i="83"/>
  <c r="L51" i="83"/>
  <c r="K51" i="83"/>
  <c r="J51" i="83"/>
  <c r="I51" i="83"/>
  <c r="H51" i="83"/>
  <c r="G51" i="83"/>
  <c r="F51" i="83"/>
  <c r="E51" i="83"/>
  <c r="P50" i="83"/>
  <c r="O50" i="83"/>
  <c r="N50" i="83"/>
  <c r="M50" i="83"/>
  <c r="L50" i="83"/>
  <c r="K50" i="83"/>
  <c r="J50" i="83"/>
  <c r="I50" i="83"/>
  <c r="H50" i="83"/>
  <c r="G50" i="83"/>
  <c r="F50" i="83"/>
  <c r="E50" i="83"/>
  <c r="P49" i="83"/>
  <c r="O49" i="83"/>
  <c r="N49" i="83"/>
  <c r="M49" i="83"/>
  <c r="L49" i="83"/>
  <c r="K49" i="83"/>
  <c r="J49" i="83"/>
  <c r="I49" i="83"/>
  <c r="H49" i="83"/>
  <c r="G49" i="83"/>
  <c r="F49" i="83"/>
  <c r="E49" i="83"/>
  <c r="P48" i="83"/>
  <c r="O48" i="83"/>
  <c r="N48" i="83"/>
  <c r="M48" i="83"/>
  <c r="L48" i="83"/>
  <c r="K48" i="83"/>
  <c r="J48" i="83"/>
  <c r="I48" i="83"/>
  <c r="H48" i="83"/>
  <c r="G48" i="83"/>
  <c r="F48" i="83"/>
  <c r="E48" i="83"/>
  <c r="P47" i="83"/>
  <c r="O47" i="83"/>
  <c r="N47" i="83"/>
  <c r="M47" i="83"/>
  <c r="L47" i="83"/>
  <c r="K47" i="83"/>
  <c r="J47" i="83"/>
  <c r="I47" i="83"/>
  <c r="H47" i="83"/>
  <c r="G47" i="83"/>
  <c r="F47" i="83"/>
  <c r="E47" i="83"/>
  <c r="P46" i="83"/>
  <c r="O46" i="83"/>
  <c r="N46" i="83"/>
  <c r="M46" i="83"/>
  <c r="L46" i="83"/>
  <c r="K46" i="83"/>
  <c r="J46" i="83"/>
  <c r="I46" i="83"/>
  <c r="H46" i="83"/>
  <c r="G46" i="83"/>
  <c r="F46" i="83"/>
  <c r="E46" i="83"/>
  <c r="P45" i="83"/>
  <c r="O45" i="83"/>
  <c r="N45" i="83"/>
  <c r="M45" i="83"/>
  <c r="L45" i="83"/>
  <c r="K45" i="83"/>
  <c r="J45" i="83"/>
  <c r="I45" i="83"/>
  <c r="H45" i="83"/>
  <c r="G45" i="83"/>
  <c r="F45" i="83"/>
  <c r="E45" i="83"/>
  <c r="P44" i="83"/>
  <c r="O44" i="83"/>
  <c r="N44" i="83"/>
  <c r="M44" i="83"/>
  <c r="L44" i="83"/>
  <c r="K44" i="83"/>
  <c r="J44" i="83"/>
  <c r="I44" i="83"/>
  <c r="H44" i="83"/>
  <c r="G44" i="83"/>
  <c r="F44" i="83"/>
  <c r="E44" i="83"/>
  <c r="P42" i="83"/>
  <c r="O42" i="83"/>
  <c r="N42" i="83"/>
  <c r="M42" i="83"/>
  <c r="L42" i="83"/>
  <c r="K42" i="83"/>
  <c r="J42" i="83"/>
  <c r="I42" i="83"/>
  <c r="H42" i="83"/>
  <c r="G42" i="83"/>
  <c r="F42" i="83"/>
  <c r="E42" i="83"/>
  <c r="P41" i="83"/>
  <c r="O41" i="83"/>
  <c r="N41" i="83"/>
  <c r="M41" i="83"/>
  <c r="L41" i="83"/>
  <c r="K41" i="83"/>
  <c r="J41" i="83"/>
  <c r="I41" i="83"/>
  <c r="H41" i="83"/>
  <c r="G41" i="83"/>
  <c r="F41" i="83"/>
  <c r="E41" i="83"/>
  <c r="P40" i="83"/>
  <c r="O40" i="83"/>
  <c r="N40" i="83"/>
  <c r="M40" i="83"/>
  <c r="L40" i="83"/>
  <c r="K40" i="83"/>
  <c r="J40" i="83"/>
  <c r="I40" i="83"/>
  <c r="H40" i="83"/>
  <c r="G40" i="83"/>
  <c r="F40" i="83"/>
  <c r="E40" i="83"/>
  <c r="P39" i="83"/>
  <c r="O39" i="83"/>
  <c r="N39" i="83"/>
  <c r="M39" i="83"/>
  <c r="L39" i="83"/>
  <c r="K39" i="83"/>
  <c r="J39" i="83"/>
  <c r="I39" i="83"/>
  <c r="H39" i="83"/>
  <c r="G39" i="83"/>
  <c r="F39" i="83"/>
  <c r="E39" i="83"/>
  <c r="P38" i="83"/>
  <c r="O38" i="83"/>
  <c r="N38" i="83"/>
  <c r="M38" i="83"/>
  <c r="L38" i="83"/>
  <c r="K38" i="83"/>
  <c r="J38" i="83"/>
  <c r="I38" i="83"/>
  <c r="H38" i="83"/>
  <c r="G38" i="83"/>
  <c r="F38" i="83"/>
  <c r="E38" i="83"/>
  <c r="P37" i="83"/>
  <c r="O37" i="83"/>
  <c r="N37" i="83"/>
  <c r="M37" i="83"/>
  <c r="L37" i="83"/>
  <c r="K37" i="83"/>
  <c r="J37" i="83"/>
  <c r="I37" i="83"/>
  <c r="H37" i="83"/>
  <c r="G37" i="83"/>
  <c r="F37" i="83"/>
  <c r="E37" i="83"/>
  <c r="P36" i="83"/>
  <c r="O36" i="83"/>
  <c r="N36" i="83"/>
  <c r="M36" i="83"/>
  <c r="L36" i="83"/>
  <c r="K36" i="83"/>
  <c r="J36" i="83"/>
  <c r="I36" i="83"/>
  <c r="H36" i="83"/>
  <c r="G36" i="83"/>
  <c r="F36" i="83"/>
  <c r="E36" i="83"/>
  <c r="P35" i="83"/>
  <c r="O35" i="83"/>
  <c r="N35" i="83"/>
  <c r="M35" i="83"/>
  <c r="L35" i="83"/>
  <c r="K35" i="83"/>
  <c r="J35" i="83"/>
  <c r="I35" i="83"/>
  <c r="H35" i="83"/>
  <c r="G35" i="83"/>
  <c r="F35" i="83"/>
  <c r="E35" i="83"/>
  <c r="P34" i="83"/>
  <c r="O34" i="83"/>
  <c r="N34" i="83"/>
  <c r="M34" i="83"/>
  <c r="L34" i="83"/>
  <c r="K34" i="83"/>
  <c r="J34" i="83"/>
  <c r="I34" i="83"/>
  <c r="H34" i="83"/>
  <c r="G34" i="83"/>
  <c r="F34" i="83"/>
  <c r="E34" i="83"/>
  <c r="P33" i="83"/>
  <c r="O33" i="83"/>
  <c r="N33" i="83"/>
  <c r="M33" i="83"/>
  <c r="L33" i="83"/>
  <c r="K33" i="83"/>
  <c r="J33" i="83"/>
  <c r="I33" i="83"/>
  <c r="H33" i="83"/>
  <c r="G33" i="83"/>
  <c r="F33" i="83"/>
  <c r="E33" i="83"/>
  <c r="P32" i="83"/>
  <c r="O32" i="83"/>
  <c r="N32" i="83"/>
  <c r="M32" i="83"/>
  <c r="L32" i="83"/>
  <c r="K32" i="83"/>
  <c r="J32" i="83"/>
  <c r="I32" i="83"/>
  <c r="H32" i="83"/>
  <c r="G32" i="83"/>
  <c r="F32" i="83"/>
  <c r="E32" i="83"/>
  <c r="P31" i="83"/>
  <c r="O31" i="83"/>
  <c r="N31" i="83"/>
  <c r="M31" i="83"/>
  <c r="L31" i="83"/>
  <c r="K31" i="83"/>
  <c r="J31" i="83"/>
  <c r="I31" i="83"/>
  <c r="H31" i="83"/>
  <c r="G31" i="83"/>
  <c r="F31" i="83"/>
  <c r="E31" i="83"/>
  <c r="P30" i="83"/>
  <c r="O30" i="83"/>
  <c r="N30" i="83"/>
  <c r="M30" i="83"/>
  <c r="L30" i="83"/>
  <c r="K30" i="83"/>
  <c r="J30" i="83"/>
  <c r="I30" i="83"/>
  <c r="H30" i="83"/>
  <c r="G30" i="83"/>
  <c r="F30" i="83"/>
  <c r="E30" i="83"/>
  <c r="P29" i="83"/>
  <c r="O29" i="83"/>
  <c r="N29" i="83"/>
  <c r="M29" i="83"/>
  <c r="L29" i="83"/>
  <c r="K29" i="83"/>
  <c r="J29" i="83"/>
  <c r="I29" i="83"/>
  <c r="H29" i="83"/>
  <c r="G29" i="83"/>
  <c r="F29" i="83"/>
  <c r="E29" i="83"/>
  <c r="P28" i="83"/>
  <c r="O28" i="83"/>
  <c r="N28" i="83"/>
  <c r="M28" i="83"/>
  <c r="L28" i="83"/>
  <c r="K28" i="83"/>
  <c r="J28" i="83"/>
  <c r="I28" i="83"/>
  <c r="H28" i="83"/>
  <c r="G28" i="83"/>
  <c r="F28" i="83"/>
  <c r="E28" i="83"/>
  <c r="P27" i="83"/>
  <c r="O27" i="83"/>
  <c r="N27" i="83"/>
  <c r="M27" i="83"/>
  <c r="L27" i="83"/>
  <c r="K27" i="83"/>
  <c r="J27" i="83"/>
  <c r="I27" i="83"/>
  <c r="H27" i="83"/>
  <c r="G27" i="83"/>
  <c r="F27" i="83"/>
  <c r="E27" i="83"/>
  <c r="P26" i="83"/>
  <c r="O26" i="83"/>
  <c r="N26" i="83"/>
  <c r="M26" i="83"/>
  <c r="L26" i="83"/>
  <c r="K26" i="83"/>
  <c r="J26" i="83"/>
  <c r="I26" i="83"/>
  <c r="H26" i="83"/>
  <c r="G26" i="83"/>
  <c r="F26" i="83"/>
  <c r="E26" i="83"/>
  <c r="P25" i="83"/>
  <c r="O25" i="83"/>
  <c r="N25" i="83"/>
  <c r="M25" i="83"/>
  <c r="L25" i="83"/>
  <c r="K25" i="83"/>
  <c r="J25" i="83"/>
  <c r="I25" i="83"/>
  <c r="H25" i="83"/>
  <c r="G25" i="83"/>
  <c r="F25" i="83"/>
  <c r="E25" i="83"/>
  <c r="P24" i="83"/>
  <c r="O24" i="83"/>
  <c r="N24" i="83"/>
  <c r="M24" i="83"/>
  <c r="L24" i="83"/>
  <c r="K24" i="83"/>
  <c r="J24" i="83"/>
  <c r="I24" i="83"/>
  <c r="H24" i="83"/>
  <c r="G24" i="83"/>
  <c r="F24" i="83"/>
  <c r="E24" i="83"/>
  <c r="P23" i="83"/>
  <c r="O23" i="83"/>
  <c r="N23" i="83"/>
  <c r="M23" i="83"/>
  <c r="L23" i="83"/>
  <c r="K23" i="83"/>
  <c r="J23" i="83"/>
  <c r="I23" i="83"/>
  <c r="H23" i="83"/>
  <c r="G23" i="83"/>
  <c r="F23" i="83"/>
  <c r="E23" i="83"/>
  <c r="P22" i="83"/>
  <c r="O22" i="83"/>
  <c r="N22" i="83"/>
  <c r="M22" i="83"/>
  <c r="L22" i="83"/>
  <c r="K22" i="83"/>
  <c r="J22" i="83"/>
  <c r="I22" i="83"/>
  <c r="H22" i="83"/>
  <c r="G22" i="83"/>
  <c r="F22" i="83"/>
  <c r="E22" i="83"/>
  <c r="P21" i="83"/>
  <c r="O21" i="83"/>
  <c r="N21" i="83"/>
  <c r="M21" i="83"/>
  <c r="L21" i="83"/>
  <c r="K21" i="83"/>
  <c r="J21" i="83"/>
  <c r="I21" i="83"/>
  <c r="H21" i="83"/>
  <c r="G21" i="83"/>
  <c r="F21" i="83"/>
  <c r="E21" i="83"/>
  <c r="P20" i="83"/>
  <c r="O20" i="83"/>
  <c r="N20" i="83"/>
  <c r="M20" i="83"/>
  <c r="L20" i="83"/>
  <c r="K20" i="83"/>
  <c r="J20" i="83"/>
  <c r="I20" i="83"/>
  <c r="H20" i="83"/>
  <c r="G20" i="83"/>
  <c r="F20" i="83"/>
  <c r="E20" i="83"/>
  <c r="P19" i="83"/>
  <c r="O19" i="83"/>
  <c r="N19" i="83"/>
  <c r="M19" i="83"/>
  <c r="L19" i="83"/>
  <c r="K19" i="83"/>
  <c r="J19" i="83"/>
  <c r="I19" i="83"/>
  <c r="H19" i="83"/>
  <c r="G19" i="83"/>
  <c r="F19" i="83"/>
  <c r="E19" i="83"/>
  <c r="P18" i="83"/>
  <c r="O18" i="83"/>
  <c r="N18" i="83"/>
  <c r="M18" i="83"/>
  <c r="L18" i="83"/>
  <c r="K18" i="83"/>
  <c r="J18" i="83"/>
  <c r="I18" i="83"/>
  <c r="H18" i="83"/>
  <c r="G18" i="83"/>
  <c r="F18" i="83"/>
  <c r="E18" i="83"/>
  <c r="P17" i="83"/>
  <c r="O17" i="83"/>
  <c r="N17" i="83"/>
  <c r="M17" i="83"/>
  <c r="L17" i="83"/>
  <c r="K17" i="83"/>
  <c r="J17" i="83"/>
  <c r="I17" i="83"/>
  <c r="H17" i="83"/>
  <c r="G17" i="83"/>
  <c r="F17" i="83"/>
  <c r="E17" i="83"/>
  <c r="P16" i="83"/>
  <c r="O16" i="83"/>
  <c r="N16" i="83"/>
  <c r="M16" i="83"/>
  <c r="L16" i="83"/>
  <c r="K16" i="83"/>
  <c r="J16" i="83"/>
  <c r="I16" i="83"/>
  <c r="H16" i="83"/>
  <c r="G16" i="83"/>
  <c r="F16" i="83"/>
  <c r="E16" i="83"/>
  <c r="P15" i="83"/>
  <c r="O15" i="83"/>
  <c r="N15" i="83"/>
  <c r="M15" i="83"/>
  <c r="L15" i="83"/>
  <c r="K15" i="83"/>
  <c r="J15" i="83"/>
  <c r="I15" i="83"/>
  <c r="H15" i="83"/>
  <c r="G15" i="83"/>
  <c r="F15" i="83"/>
  <c r="E15" i="83"/>
  <c r="D5" i="83"/>
  <c r="D4" i="83"/>
  <c r="Q153" i="152"/>
  <c r="T153" i="152" s="1"/>
  <c r="Q152" i="152"/>
  <c r="T152" i="152" s="1"/>
  <c r="Q151" i="152"/>
  <c r="T151" i="152" s="1"/>
  <c r="P150" i="152"/>
  <c r="P154" i="152" s="1"/>
  <c r="O150" i="152"/>
  <c r="O154" i="152" s="1"/>
  <c r="N150" i="152"/>
  <c r="N154" i="152" s="1"/>
  <c r="M150" i="152"/>
  <c r="M154" i="152" s="1"/>
  <c r="L150" i="152"/>
  <c r="L154" i="152" s="1"/>
  <c r="K150" i="152"/>
  <c r="K154" i="152" s="1"/>
  <c r="J150" i="152"/>
  <c r="J154" i="152" s="1"/>
  <c r="I150" i="152"/>
  <c r="I154" i="152" s="1"/>
  <c r="H150" i="152"/>
  <c r="H154" i="152" s="1"/>
  <c r="G150" i="152"/>
  <c r="G154" i="152" s="1"/>
  <c r="F150" i="152"/>
  <c r="F154" i="152" s="1"/>
  <c r="E150" i="152"/>
  <c r="E154" i="152" s="1"/>
  <c r="Q149" i="152"/>
  <c r="P145" i="152"/>
  <c r="P100" i="81" s="1"/>
  <c r="O145" i="152"/>
  <c r="O100" i="81" s="1"/>
  <c r="N145" i="152"/>
  <c r="N100" i="81" s="1"/>
  <c r="M145" i="152"/>
  <c r="M100" i="81" s="1"/>
  <c r="L145" i="152"/>
  <c r="L100" i="81" s="1"/>
  <c r="K145" i="152"/>
  <c r="K100" i="81" s="1"/>
  <c r="J145" i="152"/>
  <c r="J100" i="81" s="1"/>
  <c r="I145" i="152"/>
  <c r="I100" i="81" s="1"/>
  <c r="H145" i="152"/>
  <c r="H100" i="81" s="1"/>
  <c r="G145" i="152"/>
  <c r="G100" i="81" s="1"/>
  <c r="F145" i="152"/>
  <c r="F100" i="81" s="1"/>
  <c r="E145" i="152"/>
  <c r="E100" i="81" s="1"/>
  <c r="P141" i="152"/>
  <c r="P96" i="81" s="1"/>
  <c r="O141" i="152"/>
  <c r="O96" i="81" s="1"/>
  <c r="N141" i="152"/>
  <c r="N96" i="81" s="1"/>
  <c r="M141" i="152"/>
  <c r="M96" i="81" s="1"/>
  <c r="L141" i="152"/>
  <c r="L96" i="81" s="1"/>
  <c r="K141" i="152"/>
  <c r="K96" i="81" s="1"/>
  <c r="J141" i="152"/>
  <c r="J96" i="81" s="1"/>
  <c r="I141" i="152"/>
  <c r="I96" i="81" s="1"/>
  <c r="H141" i="152"/>
  <c r="H96" i="81" s="1"/>
  <c r="G141" i="152"/>
  <c r="G96" i="81" s="1"/>
  <c r="F141" i="152"/>
  <c r="F96" i="81" s="1"/>
  <c r="E141" i="152"/>
  <c r="E96" i="81" s="1"/>
  <c r="P140" i="152"/>
  <c r="P95" i="81" s="1"/>
  <c r="O140" i="152"/>
  <c r="O95" i="81" s="1"/>
  <c r="N140" i="152"/>
  <c r="N95" i="81" s="1"/>
  <c r="M140" i="152"/>
  <c r="M95" i="81" s="1"/>
  <c r="L140" i="152"/>
  <c r="L95" i="81" s="1"/>
  <c r="K140" i="152"/>
  <c r="K95" i="81" s="1"/>
  <c r="J140" i="152"/>
  <c r="J95" i="81" s="1"/>
  <c r="I140" i="152"/>
  <c r="I95" i="81" s="1"/>
  <c r="H140" i="152"/>
  <c r="H95" i="81" s="1"/>
  <c r="G140" i="152"/>
  <c r="G95" i="81" s="1"/>
  <c r="F140" i="152"/>
  <c r="F95" i="81" s="1"/>
  <c r="E140" i="152"/>
  <c r="E95" i="81" s="1"/>
  <c r="P139" i="152"/>
  <c r="P94" i="81" s="1"/>
  <c r="O139" i="152"/>
  <c r="O94" i="81" s="1"/>
  <c r="N139" i="152"/>
  <c r="N94" i="81" s="1"/>
  <c r="M139" i="152"/>
  <c r="M94" i="81" s="1"/>
  <c r="L139" i="152"/>
  <c r="L94" i="81" s="1"/>
  <c r="K139" i="152"/>
  <c r="K94" i="81" s="1"/>
  <c r="J139" i="152"/>
  <c r="J94" i="81" s="1"/>
  <c r="I139" i="152"/>
  <c r="I94" i="81" s="1"/>
  <c r="H139" i="152"/>
  <c r="H94" i="81" s="1"/>
  <c r="G139" i="152"/>
  <c r="G94" i="81" s="1"/>
  <c r="F139" i="152"/>
  <c r="F94" i="81" s="1"/>
  <c r="E139" i="152"/>
  <c r="E94" i="81" s="1"/>
  <c r="Q138" i="152"/>
  <c r="Q137" i="152"/>
  <c r="T137" i="152" s="1"/>
  <c r="Q136" i="152"/>
  <c r="T136" i="152" s="1"/>
  <c r="Q135" i="152"/>
  <c r="T135" i="152" s="1"/>
  <c r="Q132" i="152"/>
  <c r="T132" i="152" s="1"/>
  <c r="Q131" i="152"/>
  <c r="T131" i="152" s="1"/>
  <c r="P130" i="152"/>
  <c r="P85" i="81" s="1"/>
  <c r="O130" i="152"/>
  <c r="O85" i="81" s="1"/>
  <c r="N130" i="152"/>
  <c r="N85" i="81" s="1"/>
  <c r="M130" i="152"/>
  <c r="M85" i="81" s="1"/>
  <c r="L130" i="152"/>
  <c r="L85" i="81" s="1"/>
  <c r="K130" i="152"/>
  <c r="K85" i="81" s="1"/>
  <c r="J130" i="152"/>
  <c r="J85" i="81" s="1"/>
  <c r="I130" i="152"/>
  <c r="I85" i="81" s="1"/>
  <c r="H130" i="152"/>
  <c r="H85" i="81" s="1"/>
  <c r="G130" i="152"/>
  <c r="G85" i="81" s="1"/>
  <c r="F130" i="152"/>
  <c r="F85" i="81" s="1"/>
  <c r="E130" i="152"/>
  <c r="E85" i="81" s="1"/>
  <c r="P129" i="152"/>
  <c r="O129" i="152"/>
  <c r="N129" i="152"/>
  <c r="M129" i="152"/>
  <c r="L129" i="152"/>
  <c r="K129" i="152"/>
  <c r="J129" i="152"/>
  <c r="I129" i="152"/>
  <c r="H129" i="152"/>
  <c r="G129" i="152"/>
  <c r="F129" i="152"/>
  <c r="E129" i="152"/>
  <c r="P128" i="152"/>
  <c r="P83" i="81" s="1"/>
  <c r="O128" i="152"/>
  <c r="O83" i="81" s="1"/>
  <c r="N128" i="152"/>
  <c r="N83" i="81" s="1"/>
  <c r="M128" i="152"/>
  <c r="M83" i="81" s="1"/>
  <c r="L128" i="152"/>
  <c r="L83" i="81" s="1"/>
  <c r="K128" i="152"/>
  <c r="K83" i="81" s="1"/>
  <c r="J128" i="152"/>
  <c r="J83" i="81" s="1"/>
  <c r="I128" i="152"/>
  <c r="I83" i="81" s="1"/>
  <c r="H128" i="152"/>
  <c r="H83" i="81" s="1"/>
  <c r="G128" i="152"/>
  <c r="G83" i="81" s="1"/>
  <c r="F128" i="152"/>
  <c r="F83" i="81" s="1"/>
  <c r="E128" i="152"/>
  <c r="E83" i="81" s="1"/>
  <c r="P127" i="152"/>
  <c r="P82" i="81" s="1"/>
  <c r="O127" i="152"/>
  <c r="O82" i="81" s="1"/>
  <c r="N127" i="152"/>
  <c r="N82" i="81" s="1"/>
  <c r="M127" i="152"/>
  <c r="M82" i="81" s="1"/>
  <c r="L127" i="152"/>
  <c r="L82" i="81" s="1"/>
  <c r="K127" i="152"/>
  <c r="K82" i="81" s="1"/>
  <c r="J127" i="152"/>
  <c r="J82" i="81" s="1"/>
  <c r="I127" i="152"/>
  <c r="I82" i="81" s="1"/>
  <c r="H127" i="152"/>
  <c r="H82" i="81" s="1"/>
  <c r="G127" i="152"/>
  <c r="G82" i="81" s="1"/>
  <c r="F127" i="152"/>
  <c r="F82" i="81" s="1"/>
  <c r="E127" i="152"/>
  <c r="E82" i="81" s="1"/>
  <c r="P126" i="152"/>
  <c r="P81" i="81" s="1"/>
  <c r="O126" i="152"/>
  <c r="O81" i="81" s="1"/>
  <c r="N126" i="152"/>
  <c r="N81" i="81" s="1"/>
  <c r="M126" i="152"/>
  <c r="M81" i="81" s="1"/>
  <c r="L126" i="152"/>
  <c r="L81" i="81" s="1"/>
  <c r="K126" i="152"/>
  <c r="K81" i="81" s="1"/>
  <c r="J126" i="152"/>
  <c r="J81" i="81" s="1"/>
  <c r="I126" i="152"/>
  <c r="I81" i="81" s="1"/>
  <c r="H126" i="152"/>
  <c r="H81" i="81" s="1"/>
  <c r="G126" i="152"/>
  <c r="G81" i="81" s="1"/>
  <c r="F126" i="152"/>
  <c r="F81" i="81" s="1"/>
  <c r="E126" i="152"/>
  <c r="E81" i="81" s="1"/>
  <c r="P125" i="152"/>
  <c r="P80" i="81" s="1"/>
  <c r="O125" i="152"/>
  <c r="O80" i="81" s="1"/>
  <c r="N125" i="152"/>
  <c r="N80" i="81" s="1"/>
  <c r="M125" i="152"/>
  <c r="M80" i="81" s="1"/>
  <c r="L125" i="152"/>
  <c r="L80" i="81" s="1"/>
  <c r="K125" i="152"/>
  <c r="K80" i="81" s="1"/>
  <c r="J125" i="152"/>
  <c r="J80" i="81" s="1"/>
  <c r="I125" i="152"/>
  <c r="I80" i="81" s="1"/>
  <c r="H125" i="152"/>
  <c r="H80" i="81" s="1"/>
  <c r="G125" i="152"/>
  <c r="G80" i="81" s="1"/>
  <c r="F125" i="152"/>
  <c r="F80" i="81" s="1"/>
  <c r="E125" i="152"/>
  <c r="E80" i="81" s="1"/>
  <c r="P120" i="152"/>
  <c r="P75" i="81" s="1"/>
  <c r="O120" i="152"/>
  <c r="O75" i="81" s="1"/>
  <c r="N120" i="152"/>
  <c r="N75" i="81" s="1"/>
  <c r="M120" i="152"/>
  <c r="M75" i="81" s="1"/>
  <c r="L120" i="152"/>
  <c r="L75" i="81" s="1"/>
  <c r="K120" i="152"/>
  <c r="K75" i="81" s="1"/>
  <c r="J120" i="152"/>
  <c r="J75" i="81" s="1"/>
  <c r="I120" i="152"/>
  <c r="I75" i="81" s="1"/>
  <c r="H120" i="152"/>
  <c r="H75" i="81" s="1"/>
  <c r="G120" i="152"/>
  <c r="G75" i="81" s="1"/>
  <c r="F120" i="152"/>
  <c r="F75" i="81" s="1"/>
  <c r="E120" i="152"/>
  <c r="E75" i="81" s="1"/>
  <c r="P119" i="152"/>
  <c r="P74" i="81" s="1"/>
  <c r="O119" i="152"/>
  <c r="O74" i="81" s="1"/>
  <c r="N119" i="152"/>
  <c r="N74" i="81" s="1"/>
  <c r="M119" i="152"/>
  <c r="M74" i="81" s="1"/>
  <c r="L119" i="152"/>
  <c r="L74" i="81" s="1"/>
  <c r="K119" i="152"/>
  <c r="K74" i="81" s="1"/>
  <c r="J119" i="152"/>
  <c r="J74" i="81" s="1"/>
  <c r="I119" i="152"/>
  <c r="I74" i="81" s="1"/>
  <c r="H119" i="152"/>
  <c r="H74" i="81" s="1"/>
  <c r="G119" i="152"/>
  <c r="G74" i="81" s="1"/>
  <c r="F119" i="152"/>
  <c r="F74" i="81" s="1"/>
  <c r="E119" i="152"/>
  <c r="E74" i="81" s="1"/>
  <c r="P118" i="152"/>
  <c r="P73" i="81" s="1"/>
  <c r="O118" i="152"/>
  <c r="O73" i="81" s="1"/>
  <c r="N118" i="152"/>
  <c r="N73" i="81" s="1"/>
  <c r="M118" i="152"/>
  <c r="M73" i="81" s="1"/>
  <c r="L118" i="152"/>
  <c r="L73" i="81" s="1"/>
  <c r="K118" i="152"/>
  <c r="K73" i="81" s="1"/>
  <c r="J118" i="152"/>
  <c r="J73" i="81" s="1"/>
  <c r="I118" i="152"/>
  <c r="I73" i="81" s="1"/>
  <c r="H118" i="152"/>
  <c r="H73" i="81" s="1"/>
  <c r="G118" i="152"/>
  <c r="G73" i="81" s="1"/>
  <c r="F118" i="152"/>
  <c r="F73" i="81" s="1"/>
  <c r="E118" i="152"/>
  <c r="E73" i="81" s="1"/>
  <c r="P117" i="152"/>
  <c r="P72" i="81" s="1"/>
  <c r="O117" i="152"/>
  <c r="O72" i="81" s="1"/>
  <c r="N117" i="152"/>
  <c r="N72" i="81" s="1"/>
  <c r="M117" i="152"/>
  <c r="M72" i="81" s="1"/>
  <c r="L117" i="152"/>
  <c r="L72" i="81" s="1"/>
  <c r="K117" i="152"/>
  <c r="K72" i="81" s="1"/>
  <c r="J117" i="152"/>
  <c r="J72" i="81" s="1"/>
  <c r="I117" i="152"/>
  <c r="I72" i="81" s="1"/>
  <c r="H117" i="152"/>
  <c r="H72" i="81" s="1"/>
  <c r="G117" i="152"/>
  <c r="G72" i="81" s="1"/>
  <c r="F117" i="152"/>
  <c r="F72" i="81" s="1"/>
  <c r="E117" i="152"/>
  <c r="E72" i="81" s="1"/>
  <c r="P116" i="152"/>
  <c r="P71" i="81" s="1"/>
  <c r="O116" i="152"/>
  <c r="O71" i="81" s="1"/>
  <c r="N116" i="152"/>
  <c r="N71" i="81" s="1"/>
  <c r="M116" i="152"/>
  <c r="M71" i="81" s="1"/>
  <c r="L116" i="152"/>
  <c r="L71" i="81" s="1"/>
  <c r="K116" i="152"/>
  <c r="K71" i="81" s="1"/>
  <c r="J116" i="152"/>
  <c r="J71" i="81" s="1"/>
  <c r="I116" i="152"/>
  <c r="I71" i="81" s="1"/>
  <c r="H116" i="152"/>
  <c r="H71" i="81" s="1"/>
  <c r="G116" i="152"/>
  <c r="G71" i="81" s="1"/>
  <c r="F116" i="152"/>
  <c r="F71" i="81" s="1"/>
  <c r="E116" i="152"/>
  <c r="E71" i="81" s="1"/>
  <c r="P113" i="152"/>
  <c r="P68" i="81" s="1"/>
  <c r="O113" i="152"/>
  <c r="O68" i="81" s="1"/>
  <c r="N113" i="152"/>
  <c r="N68" i="81" s="1"/>
  <c r="M113" i="152"/>
  <c r="M68" i="81" s="1"/>
  <c r="L113" i="152"/>
  <c r="L68" i="81" s="1"/>
  <c r="K113" i="152"/>
  <c r="K68" i="81" s="1"/>
  <c r="J113" i="152"/>
  <c r="J68" i="81" s="1"/>
  <c r="I113" i="152"/>
  <c r="I68" i="81" s="1"/>
  <c r="H113" i="152"/>
  <c r="H68" i="81" s="1"/>
  <c r="G113" i="152"/>
  <c r="G68" i="81" s="1"/>
  <c r="F113" i="152"/>
  <c r="F68" i="81" s="1"/>
  <c r="E113" i="152"/>
  <c r="E68" i="81" s="1"/>
  <c r="P112" i="152"/>
  <c r="P67" i="81" s="1"/>
  <c r="O112" i="152"/>
  <c r="O67" i="81" s="1"/>
  <c r="N112" i="152"/>
  <c r="N67" i="81" s="1"/>
  <c r="M112" i="152"/>
  <c r="M67" i="81" s="1"/>
  <c r="L112" i="152"/>
  <c r="L67" i="81" s="1"/>
  <c r="K112" i="152"/>
  <c r="K67" i="81" s="1"/>
  <c r="J112" i="152"/>
  <c r="J67" i="81" s="1"/>
  <c r="I112" i="152"/>
  <c r="I67" i="81" s="1"/>
  <c r="H112" i="152"/>
  <c r="H67" i="81" s="1"/>
  <c r="G112" i="152"/>
  <c r="G67" i="81" s="1"/>
  <c r="F112" i="152"/>
  <c r="F67" i="81" s="1"/>
  <c r="E112" i="152"/>
  <c r="E67" i="81" s="1"/>
  <c r="T106" i="152"/>
  <c r="T105" i="152"/>
  <c r="Q105" i="152"/>
  <c r="T104" i="152"/>
  <c r="Q104" i="152"/>
  <c r="T103" i="152"/>
  <c r="Q103" i="152"/>
  <c r="T102" i="152"/>
  <c r="Q102" i="152"/>
  <c r="T101" i="152"/>
  <c r="Q101" i="152"/>
  <c r="T100" i="152"/>
  <c r="Q100" i="152"/>
  <c r="T99" i="152"/>
  <c r="Q99" i="152"/>
  <c r="T98" i="152"/>
  <c r="Q98" i="152"/>
  <c r="T97" i="152"/>
  <c r="Q97" i="152"/>
  <c r="T96" i="152"/>
  <c r="Q96" i="152"/>
  <c r="T95" i="152"/>
  <c r="Q95" i="152"/>
  <c r="T94" i="152"/>
  <c r="P106" i="152"/>
  <c r="P43" i="81" s="1"/>
  <c r="O106" i="152"/>
  <c r="O43" i="81" s="1"/>
  <c r="N106" i="152"/>
  <c r="N43" i="81" s="1"/>
  <c r="M106" i="152"/>
  <c r="M43" i="81" s="1"/>
  <c r="L106" i="152"/>
  <c r="L43" i="81" s="1"/>
  <c r="K106" i="152"/>
  <c r="K43" i="81" s="1"/>
  <c r="J106" i="152"/>
  <c r="J43" i="81" s="1"/>
  <c r="I106" i="152"/>
  <c r="I43" i="81" s="1"/>
  <c r="H106" i="152"/>
  <c r="H43" i="81" s="1"/>
  <c r="G106" i="152"/>
  <c r="G43" i="81" s="1"/>
  <c r="F106" i="152"/>
  <c r="F43" i="81" s="1"/>
  <c r="T93" i="152"/>
  <c r="Q93" i="152"/>
  <c r="T92" i="152"/>
  <c r="Q92" i="152"/>
  <c r="T91" i="152"/>
  <c r="Q91" i="152"/>
  <c r="T90" i="152"/>
  <c r="Q90" i="152"/>
  <c r="T89" i="152"/>
  <c r="Q89" i="152"/>
  <c r="T88" i="152"/>
  <c r="Q88" i="152"/>
  <c r="T87" i="152"/>
  <c r="Q87" i="152"/>
  <c r="T86" i="152"/>
  <c r="Q86" i="152"/>
  <c r="T85" i="152"/>
  <c r="Q85" i="152"/>
  <c r="T84" i="152"/>
  <c r="Q84" i="152"/>
  <c r="T83" i="152"/>
  <c r="Q83" i="152"/>
  <c r="T82" i="152"/>
  <c r="Q82" i="152"/>
  <c r="T81" i="152"/>
  <c r="Q81" i="152"/>
  <c r="T80" i="152"/>
  <c r="Q80" i="152"/>
  <c r="T79" i="152"/>
  <c r="Q79" i="152"/>
  <c r="T78" i="152"/>
  <c r="Q78" i="152"/>
  <c r="T77" i="152"/>
  <c r="Q77" i="152"/>
  <c r="T76" i="152"/>
  <c r="Q76" i="152"/>
  <c r="T75" i="152"/>
  <c r="Q75" i="152"/>
  <c r="T74" i="152"/>
  <c r="Q74" i="152"/>
  <c r="T73" i="152"/>
  <c r="Q73" i="152"/>
  <c r="T72" i="152"/>
  <c r="Q72" i="152"/>
  <c r="T71" i="152"/>
  <c r="Q71" i="152"/>
  <c r="T70" i="152"/>
  <c r="Q70" i="152"/>
  <c r="T69" i="152"/>
  <c r="Q69" i="152"/>
  <c r="T68" i="152"/>
  <c r="Q68" i="152"/>
  <c r="T67" i="152"/>
  <c r="Q67" i="152"/>
  <c r="T66" i="152"/>
  <c r="Q66" i="152"/>
  <c r="T65" i="152"/>
  <c r="Q65" i="152"/>
  <c r="T64" i="152"/>
  <c r="Q64" i="152"/>
  <c r="T63" i="152"/>
  <c r="Q63" i="152"/>
  <c r="T62" i="152"/>
  <c r="Q62" i="152"/>
  <c r="T61" i="152"/>
  <c r="Q61" i="152"/>
  <c r="T60" i="152"/>
  <c r="Q60" i="152"/>
  <c r="T59" i="152"/>
  <c r="Q59" i="152"/>
  <c r="T58" i="152"/>
  <c r="Q58" i="152"/>
  <c r="T57" i="152"/>
  <c r="Q57" i="152"/>
  <c r="T56" i="152"/>
  <c r="Q56" i="152"/>
  <c r="T55" i="152"/>
  <c r="Q55" i="152"/>
  <c r="T54" i="152"/>
  <c r="Q54" i="152"/>
  <c r="T53" i="152"/>
  <c r="Q53" i="152"/>
  <c r="T52" i="152"/>
  <c r="Q52" i="152"/>
  <c r="T51" i="152"/>
  <c r="Q51" i="152"/>
  <c r="T50" i="152"/>
  <c r="Q50" i="152"/>
  <c r="T49" i="152"/>
  <c r="Q49" i="152"/>
  <c r="T48" i="152"/>
  <c r="Q48" i="152"/>
  <c r="T47" i="152"/>
  <c r="Q47" i="152"/>
  <c r="T46" i="152"/>
  <c r="Q46" i="152"/>
  <c r="T45" i="152"/>
  <c r="Q45" i="152"/>
  <c r="T44" i="152"/>
  <c r="Q44" i="152"/>
  <c r="T43" i="152"/>
  <c r="Q43" i="152"/>
  <c r="Q42" i="152"/>
  <c r="T42" i="152" s="1"/>
  <c r="Q41" i="152"/>
  <c r="T41" i="152" s="1"/>
  <c r="Q40" i="152"/>
  <c r="T40" i="152" s="1"/>
  <c r="Q39" i="152"/>
  <c r="T39" i="152" s="1"/>
  <c r="Q38" i="152"/>
  <c r="T38" i="152" s="1"/>
  <c r="P34" i="152"/>
  <c r="O34" i="152"/>
  <c r="N34" i="152"/>
  <c r="M34" i="152"/>
  <c r="L34" i="152"/>
  <c r="K34" i="152"/>
  <c r="J34" i="152"/>
  <c r="I34" i="152"/>
  <c r="H34" i="152"/>
  <c r="G34" i="152"/>
  <c r="F34" i="152"/>
  <c r="E34" i="152"/>
  <c r="Q33" i="152"/>
  <c r="T33" i="152" s="1"/>
  <c r="Q32" i="152"/>
  <c r="T32" i="152" s="1"/>
  <c r="Q31" i="152"/>
  <c r="T31" i="152" s="1"/>
  <c r="Q30" i="152"/>
  <c r="T30" i="152" s="1"/>
  <c r="Q29" i="152"/>
  <c r="T29" i="152" s="1"/>
  <c r="Q28" i="152"/>
  <c r="T28" i="152" s="1"/>
  <c r="Q27" i="152"/>
  <c r="T27" i="152" s="1"/>
  <c r="Q26" i="152"/>
  <c r="T26" i="152" s="1"/>
  <c r="Q25" i="152"/>
  <c r="T25" i="152" s="1"/>
  <c r="Q24" i="152"/>
  <c r="T24" i="152" s="1"/>
  <c r="Q23" i="152"/>
  <c r="T23" i="152" s="1"/>
  <c r="Q22" i="152"/>
  <c r="T22" i="152" s="1"/>
  <c r="Q21" i="152"/>
  <c r="T21" i="152" s="1"/>
  <c r="Q20" i="152"/>
  <c r="T20" i="152" s="1"/>
  <c r="Q19" i="152"/>
  <c r="T19" i="152" s="1"/>
  <c r="Q18" i="152"/>
  <c r="T18" i="152" s="1"/>
  <c r="P15" i="152"/>
  <c r="O15" i="152"/>
  <c r="N15" i="152"/>
  <c r="N25" i="81" s="1"/>
  <c r="M15" i="152"/>
  <c r="M25" i="81" s="1"/>
  <c r="L15" i="152"/>
  <c r="K15" i="152"/>
  <c r="J15" i="152"/>
  <c r="I15" i="152"/>
  <c r="I25" i="81" s="1"/>
  <c r="H15" i="152"/>
  <c r="G15" i="152"/>
  <c r="F15" i="152"/>
  <c r="F25" i="81" s="1"/>
  <c r="E15" i="152"/>
  <c r="E25" i="81" s="1"/>
  <c r="T14" i="152"/>
  <c r="Q14" i="152"/>
  <c r="Q13" i="152"/>
  <c r="T13" i="152" s="1"/>
  <c r="Q12" i="152"/>
  <c r="D5" i="152"/>
  <c r="D4" i="152"/>
  <c r="T130" i="151"/>
  <c r="T129" i="151"/>
  <c r="P127" i="151"/>
  <c r="O127" i="151"/>
  <c r="N127" i="151"/>
  <c r="M127" i="151"/>
  <c r="L127" i="151"/>
  <c r="K127" i="151"/>
  <c r="J127" i="151"/>
  <c r="I127" i="151"/>
  <c r="H127" i="151"/>
  <c r="G127" i="151"/>
  <c r="F127" i="151"/>
  <c r="E127" i="151"/>
  <c r="Q126" i="151"/>
  <c r="Q125" i="151"/>
  <c r="Q124" i="151"/>
  <c r="Q123" i="151"/>
  <c r="Q122" i="151"/>
  <c r="Q121" i="151"/>
  <c r="Q120" i="151"/>
  <c r="T119" i="151"/>
  <c r="P118" i="151"/>
  <c r="O118" i="151"/>
  <c r="N118" i="151"/>
  <c r="M118" i="151"/>
  <c r="L118" i="151"/>
  <c r="K118" i="151"/>
  <c r="J118" i="151"/>
  <c r="I118" i="151"/>
  <c r="H118" i="151"/>
  <c r="G118" i="151"/>
  <c r="F118" i="151"/>
  <c r="E118" i="151"/>
  <c r="Q117" i="151"/>
  <c r="Q116" i="151"/>
  <c r="Q115" i="151"/>
  <c r="Q114" i="151"/>
  <c r="Q113" i="151"/>
  <c r="Q112" i="151"/>
  <c r="Q111" i="151"/>
  <c r="Q110" i="151"/>
  <c r="T109" i="151"/>
  <c r="Q105" i="151"/>
  <c r="Q104" i="151"/>
  <c r="Q103" i="151"/>
  <c r="Q102" i="151"/>
  <c r="Q101" i="151"/>
  <c r="T100" i="151"/>
  <c r="P99" i="151"/>
  <c r="O99" i="151"/>
  <c r="N99" i="151"/>
  <c r="M99" i="151"/>
  <c r="L99" i="151"/>
  <c r="K99" i="151"/>
  <c r="J99" i="151"/>
  <c r="I99" i="151"/>
  <c r="H99" i="151"/>
  <c r="G99" i="151"/>
  <c r="F99" i="151"/>
  <c r="E99" i="151"/>
  <c r="Q98" i="151"/>
  <c r="Q97" i="151"/>
  <c r="T96" i="151"/>
  <c r="T95" i="151"/>
  <c r="T91" i="151"/>
  <c r="P91" i="151"/>
  <c r="O91" i="151"/>
  <c r="N91" i="151"/>
  <c r="M91" i="151"/>
  <c r="L91" i="151"/>
  <c r="K91" i="151"/>
  <c r="J91" i="151"/>
  <c r="I91" i="151"/>
  <c r="H91" i="151"/>
  <c r="G91" i="151"/>
  <c r="F91" i="151"/>
  <c r="E91" i="151"/>
  <c r="T90" i="151"/>
  <c r="Q90" i="151"/>
  <c r="T89" i="151"/>
  <c r="Q89" i="151"/>
  <c r="T88" i="151"/>
  <c r="Q88" i="151"/>
  <c r="T87" i="151"/>
  <c r="Q87" i="151"/>
  <c r="T86" i="151"/>
  <c r="Q86" i="151"/>
  <c r="T85" i="151"/>
  <c r="Q85" i="151"/>
  <c r="T84" i="151"/>
  <c r="Q84" i="151"/>
  <c r="T83" i="151"/>
  <c r="Q83" i="151"/>
  <c r="T82" i="151"/>
  <c r="Q82" i="151"/>
  <c r="T81" i="151"/>
  <c r="Q81" i="151"/>
  <c r="T80" i="151"/>
  <c r="Q80" i="151"/>
  <c r="T79" i="151"/>
  <c r="Q79" i="151"/>
  <c r="T78" i="151"/>
  <c r="Q78" i="151"/>
  <c r="T77" i="151"/>
  <c r="Q77" i="151"/>
  <c r="T76" i="151"/>
  <c r="Q76" i="151"/>
  <c r="T75" i="151"/>
  <c r="Q75" i="151"/>
  <c r="T74" i="151"/>
  <c r="Q74" i="151"/>
  <c r="T73" i="151"/>
  <c r="Q73" i="151"/>
  <c r="T72" i="151"/>
  <c r="Q72" i="151"/>
  <c r="T71" i="151"/>
  <c r="Q71" i="151"/>
  <c r="T70" i="151"/>
  <c r="Q70" i="151"/>
  <c r="T69" i="151"/>
  <c r="Q69" i="151"/>
  <c r="T68" i="151"/>
  <c r="Q68" i="151"/>
  <c r="T67" i="151"/>
  <c r="Q67" i="151"/>
  <c r="T66" i="151"/>
  <c r="Q66" i="151"/>
  <c r="T65" i="151"/>
  <c r="Q65" i="151"/>
  <c r="T64" i="151"/>
  <c r="Q64" i="151"/>
  <c r="T63" i="151"/>
  <c r="Q63" i="151"/>
  <c r="T62" i="151"/>
  <c r="Q62" i="151"/>
  <c r="T61" i="151"/>
  <c r="Q61" i="151"/>
  <c r="T60" i="151"/>
  <c r="Q60" i="151"/>
  <c r="T59" i="151"/>
  <c r="Q59" i="151"/>
  <c r="T58" i="151"/>
  <c r="Q58" i="151"/>
  <c r="T57" i="151"/>
  <c r="Q57" i="151"/>
  <c r="T56" i="151"/>
  <c r="Q56" i="151"/>
  <c r="T55" i="151"/>
  <c r="Q55" i="151"/>
  <c r="T54" i="151"/>
  <c r="Q54" i="151"/>
  <c r="T53" i="151"/>
  <c r="Q53" i="151"/>
  <c r="T52" i="151"/>
  <c r="Q52" i="151"/>
  <c r="T51" i="151"/>
  <c r="Q51" i="151"/>
  <c r="T50" i="151"/>
  <c r="Q50" i="151"/>
  <c r="T49" i="151"/>
  <c r="Q49" i="151"/>
  <c r="T48" i="151"/>
  <c r="Q48" i="151"/>
  <c r="Q47" i="151"/>
  <c r="T47" i="151" s="1"/>
  <c r="Q46" i="151"/>
  <c r="T46" i="151" s="1"/>
  <c r="Q45" i="151"/>
  <c r="T45" i="151" s="1"/>
  <c r="Q44" i="151"/>
  <c r="T44" i="151" s="1"/>
  <c r="Q43" i="151"/>
  <c r="T43" i="151" s="1"/>
  <c r="Q42" i="151"/>
  <c r="T42" i="151" s="1"/>
  <c r="Q41" i="151"/>
  <c r="T41" i="151" s="1"/>
  <c r="Q40" i="151"/>
  <c r="T40" i="151" s="1"/>
  <c r="Q39" i="151"/>
  <c r="T39" i="151" s="1"/>
  <c r="Q38" i="151"/>
  <c r="T38" i="151" s="1"/>
  <c r="Q37" i="151"/>
  <c r="T37" i="151" s="1"/>
  <c r="Q36" i="151"/>
  <c r="T36" i="151" s="1"/>
  <c r="Q35" i="151"/>
  <c r="T35" i="151" s="1"/>
  <c r="Q34" i="151"/>
  <c r="T34" i="151" s="1"/>
  <c r="Q33" i="151"/>
  <c r="T33" i="151" s="1"/>
  <c r="Q32" i="151"/>
  <c r="T32" i="151" s="1"/>
  <c r="Q31" i="151"/>
  <c r="T31" i="151" s="1"/>
  <c r="Q30" i="151"/>
  <c r="T30" i="151" s="1"/>
  <c r="Q29" i="151"/>
  <c r="T29" i="151" s="1"/>
  <c r="Q28" i="151"/>
  <c r="T28" i="151" s="1"/>
  <c r="Q27" i="151"/>
  <c r="T27" i="151" s="1"/>
  <c r="Q26" i="151"/>
  <c r="T26" i="151" s="1"/>
  <c r="Q25" i="151"/>
  <c r="T25" i="151" s="1"/>
  <c r="Q24" i="151"/>
  <c r="T24" i="151" s="1"/>
  <c r="Q23" i="151"/>
  <c r="P18" i="151"/>
  <c r="O18" i="151"/>
  <c r="N18" i="151"/>
  <c r="M18" i="151"/>
  <c r="L18" i="151"/>
  <c r="K18" i="151"/>
  <c r="J18" i="151"/>
  <c r="I18" i="151"/>
  <c r="H18" i="151"/>
  <c r="G18" i="151"/>
  <c r="F18" i="151"/>
  <c r="E18" i="151"/>
  <c r="Q17" i="151"/>
  <c r="T17" i="151" s="1"/>
  <c r="P14" i="151"/>
  <c r="P22" i="81" s="1"/>
  <c r="O14" i="151"/>
  <c r="O22" i="81" s="1"/>
  <c r="N14" i="151"/>
  <c r="M14" i="151"/>
  <c r="M22" i="81" s="1"/>
  <c r="L14" i="151"/>
  <c r="L22" i="81" s="1"/>
  <c r="K14" i="151"/>
  <c r="K22" i="81" s="1"/>
  <c r="J14" i="151"/>
  <c r="I14" i="151"/>
  <c r="I22" i="81" s="1"/>
  <c r="H14" i="151"/>
  <c r="H22" i="81" s="1"/>
  <c r="G14" i="151"/>
  <c r="G22" i="81" s="1"/>
  <c r="F14" i="151"/>
  <c r="E14" i="151"/>
  <c r="E22" i="81" s="1"/>
  <c r="Q13" i="151"/>
  <c r="T13" i="151" s="1"/>
  <c r="Q12" i="151"/>
  <c r="D5" i="151"/>
  <c r="D4" i="151"/>
  <c r="P149" i="150"/>
  <c r="O149" i="150"/>
  <c r="N149" i="150"/>
  <c r="M149" i="150"/>
  <c r="L149" i="150"/>
  <c r="K149" i="150"/>
  <c r="J149" i="150"/>
  <c r="I149" i="150"/>
  <c r="H149" i="150"/>
  <c r="G149" i="150"/>
  <c r="F149" i="150"/>
  <c r="E149" i="150"/>
  <c r="Q148" i="150"/>
  <c r="Q147" i="150"/>
  <c r="Q146" i="150"/>
  <c r="Q145" i="150"/>
  <c r="Q144" i="150"/>
  <c r="Q143" i="150"/>
  <c r="Q142" i="150"/>
  <c r="P140" i="150"/>
  <c r="O140" i="150"/>
  <c r="N140" i="150"/>
  <c r="M140" i="150"/>
  <c r="L140" i="150"/>
  <c r="K140" i="150"/>
  <c r="J140" i="150"/>
  <c r="I140" i="150"/>
  <c r="H140" i="150"/>
  <c r="G140" i="150"/>
  <c r="F140" i="150"/>
  <c r="E140" i="150"/>
  <c r="Q139" i="150"/>
  <c r="Q138" i="150"/>
  <c r="Q137" i="150"/>
  <c r="Q136" i="150"/>
  <c r="Q135" i="150"/>
  <c r="Q134" i="150"/>
  <c r="Q133" i="150"/>
  <c r="Q132" i="150"/>
  <c r="P130" i="150"/>
  <c r="O130" i="150"/>
  <c r="N130" i="150"/>
  <c r="M130" i="150"/>
  <c r="L130" i="150"/>
  <c r="K130" i="150"/>
  <c r="J130" i="150"/>
  <c r="I130" i="150"/>
  <c r="H130" i="150"/>
  <c r="G130" i="150"/>
  <c r="F130" i="150"/>
  <c r="E130" i="150"/>
  <c r="Q127" i="150"/>
  <c r="Q126" i="150"/>
  <c r="Q125" i="150"/>
  <c r="Q124" i="150"/>
  <c r="Q123" i="150"/>
  <c r="P121" i="150"/>
  <c r="O121" i="150"/>
  <c r="N121" i="150"/>
  <c r="M121" i="150"/>
  <c r="L121" i="150"/>
  <c r="K121" i="150"/>
  <c r="J121" i="150"/>
  <c r="I121" i="150"/>
  <c r="H121" i="150"/>
  <c r="G121" i="150"/>
  <c r="F121" i="150"/>
  <c r="E121" i="150"/>
  <c r="Q120" i="150"/>
  <c r="Q119" i="150"/>
  <c r="T113" i="150"/>
  <c r="P113" i="150"/>
  <c r="O113" i="150"/>
  <c r="N113" i="150"/>
  <c r="M113" i="150"/>
  <c r="L113" i="150"/>
  <c r="K113" i="150"/>
  <c r="J113" i="150"/>
  <c r="I113" i="150"/>
  <c r="H113" i="150"/>
  <c r="G113" i="150"/>
  <c r="F113" i="150"/>
  <c r="E113" i="150"/>
  <c r="T112" i="150"/>
  <c r="Q112" i="150"/>
  <c r="Q111" i="150"/>
  <c r="T111" i="150" s="1"/>
  <c r="Q110" i="150"/>
  <c r="T110" i="150" s="1"/>
  <c r="Q109" i="150"/>
  <c r="T109" i="150" s="1"/>
  <c r="Q108" i="150"/>
  <c r="T108" i="150" s="1"/>
  <c r="Q107" i="150"/>
  <c r="T107" i="150" s="1"/>
  <c r="Q106" i="150"/>
  <c r="T106" i="150" s="1"/>
  <c r="Q105" i="150"/>
  <c r="T105" i="150" s="1"/>
  <c r="Q104" i="150"/>
  <c r="T104" i="150" s="1"/>
  <c r="Q103" i="150"/>
  <c r="T103" i="150" s="1"/>
  <c r="Q102" i="150"/>
  <c r="T102" i="150" s="1"/>
  <c r="Q101" i="150"/>
  <c r="T101" i="150" s="1"/>
  <c r="Q100" i="150"/>
  <c r="T100" i="150" s="1"/>
  <c r="Q99" i="150"/>
  <c r="T99" i="150" s="1"/>
  <c r="Q98" i="150"/>
  <c r="T98" i="150" s="1"/>
  <c r="Q97" i="150"/>
  <c r="T97" i="150" s="1"/>
  <c r="Q96" i="150"/>
  <c r="T96" i="150" s="1"/>
  <c r="Q95" i="150"/>
  <c r="T95" i="150" s="1"/>
  <c r="Q94" i="150"/>
  <c r="T94" i="150" s="1"/>
  <c r="Q93" i="150"/>
  <c r="T93" i="150" s="1"/>
  <c r="Q92" i="150"/>
  <c r="T92" i="150" s="1"/>
  <c r="Q91" i="150"/>
  <c r="T91" i="150" s="1"/>
  <c r="Q90" i="150"/>
  <c r="T90" i="150" s="1"/>
  <c r="Q89" i="150"/>
  <c r="T89" i="150" s="1"/>
  <c r="Q88" i="150"/>
  <c r="T88" i="150" s="1"/>
  <c r="Q87" i="150"/>
  <c r="T87" i="150" s="1"/>
  <c r="Q86" i="150"/>
  <c r="T86" i="150" s="1"/>
  <c r="Q85" i="150"/>
  <c r="T85" i="150" s="1"/>
  <c r="Q84" i="150"/>
  <c r="T84" i="150" s="1"/>
  <c r="Q83" i="150"/>
  <c r="T83" i="150" s="1"/>
  <c r="Q82" i="150"/>
  <c r="T82" i="150" s="1"/>
  <c r="Q81" i="150"/>
  <c r="T81" i="150" s="1"/>
  <c r="Q80" i="150"/>
  <c r="T80" i="150" s="1"/>
  <c r="Q79" i="150"/>
  <c r="T79" i="150" s="1"/>
  <c r="Q78" i="150"/>
  <c r="T78" i="150" s="1"/>
  <c r="Q77" i="150"/>
  <c r="T77" i="150" s="1"/>
  <c r="Q76" i="150"/>
  <c r="T76" i="150" s="1"/>
  <c r="Q75" i="150"/>
  <c r="T75" i="150" s="1"/>
  <c r="Q74" i="150"/>
  <c r="T74" i="150" s="1"/>
  <c r="Q73" i="150"/>
  <c r="T73" i="150" s="1"/>
  <c r="Q72" i="150"/>
  <c r="T72" i="150" s="1"/>
  <c r="Q71" i="150"/>
  <c r="T71" i="150" s="1"/>
  <c r="Q70" i="150"/>
  <c r="T70" i="150" s="1"/>
  <c r="Q69" i="150"/>
  <c r="T69" i="150" s="1"/>
  <c r="Q68" i="150"/>
  <c r="T68" i="150" s="1"/>
  <c r="Q67" i="150"/>
  <c r="T67" i="150" s="1"/>
  <c r="Q66" i="150"/>
  <c r="T66" i="150" s="1"/>
  <c r="Q65" i="150"/>
  <c r="T65" i="150" s="1"/>
  <c r="Q64" i="150"/>
  <c r="T64" i="150" s="1"/>
  <c r="Q63" i="150"/>
  <c r="T63" i="150" s="1"/>
  <c r="Q62" i="150"/>
  <c r="T62" i="150" s="1"/>
  <c r="Q61" i="150"/>
  <c r="T61" i="150" s="1"/>
  <c r="Q60" i="150"/>
  <c r="T60" i="150" s="1"/>
  <c r="Q59" i="150"/>
  <c r="T59" i="150" s="1"/>
  <c r="Q58" i="150"/>
  <c r="T58" i="150" s="1"/>
  <c r="Q57" i="150"/>
  <c r="T57" i="150" s="1"/>
  <c r="Q56" i="150"/>
  <c r="T56" i="150" s="1"/>
  <c r="Q55" i="150"/>
  <c r="T55" i="150" s="1"/>
  <c r="Q54" i="150"/>
  <c r="T54" i="150" s="1"/>
  <c r="Q53" i="150"/>
  <c r="T53" i="150" s="1"/>
  <c r="Q52" i="150"/>
  <c r="T52" i="150" s="1"/>
  <c r="Q51" i="150"/>
  <c r="T51" i="150" s="1"/>
  <c r="Q50" i="150"/>
  <c r="T50" i="150" s="1"/>
  <c r="Q49" i="150"/>
  <c r="T49" i="150" s="1"/>
  <c r="Q48" i="150"/>
  <c r="T48" i="150" s="1"/>
  <c r="Q47" i="150"/>
  <c r="T47" i="150" s="1"/>
  <c r="Q46" i="150"/>
  <c r="T46" i="150" s="1"/>
  <c r="Q45" i="150"/>
  <c r="P40" i="150"/>
  <c r="O40" i="150"/>
  <c r="N40" i="150"/>
  <c r="M40" i="150"/>
  <c r="L40" i="150"/>
  <c r="K40" i="150"/>
  <c r="J40" i="150"/>
  <c r="I40" i="150"/>
  <c r="H40" i="150"/>
  <c r="G40" i="150"/>
  <c r="F40" i="150"/>
  <c r="E40" i="150"/>
  <c r="Q39" i="150"/>
  <c r="Q38" i="150"/>
  <c r="T38" i="150" s="1"/>
  <c r="Q37" i="150"/>
  <c r="T37" i="150" s="1"/>
  <c r="Q36" i="150"/>
  <c r="T36" i="150" s="1"/>
  <c r="Q35" i="150"/>
  <c r="Q34" i="150"/>
  <c r="T34" i="150" s="1"/>
  <c r="Q33" i="150"/>
  <c r="T33" i="150" s="1"/>
  <c r="Q32" i="150"/>
  <c r="T32" i="150" s="1"/>
  <c r="Q31" i="150"/>
  <c r="Q30" i="150"/>
  <c r="T30" i="150" s="1"/>
  <c r="Q29" i="150"/>
  <c r="T29" i="150" s="1"/>
  <c r="Q28" i="150"/>
  <c r="T28" i="150" s="1"/>
  <c r="Q27" i="150"/>
  <c r="Q26" i="150"/>
  <c r="T26" i="150" s="1"/>
  <c r="Q25" i="150"/>
  <c r="T25" i="150" s="1"/>
  <c r="Q24" i="150"/>
  <c r="T24" i="150" s="1"/>
  <c r="P21" i="150"/>
  <c r="P18" i="81" s="1"/>
  <c r="O21" i="150"/>
  <c r="O18" i="81" s="1"/>
  <c r="N21" i="150"/>
  <c r="N18" i="81" s="1"/>
  <c r="M21" i="150"/>
  <c r="M18" i="81" s="1"/>
  <c r="L21" i="150"/>
  <c r="L18" i="81" s="1"/>
  <c r="K21" i="150"/>
  <c r="K18" i="81" s="1"/>
  <c r="J21" i="150"/>
  <c r="J18" i="81" s="1"/>
  <c r="I21" i="150"/>
  <c r="I18" i="81" s="1"/>
  <c r="H21" i="150"/>
  <c r="H18" i="81" s="1"/>
  <c r="G21" i="150"/>
  <c r="G18" i="81" s="1"/>
  <c r="F21" i="150"/>
  <c r="F18" i="81" s="1"/>
  <c r="E21" i="150"/>
  <c r="E18" i="81" s="1"/>
  <c r="T20" i="150"/>
  <c r="Q20" i="150"/>
  <c r="Q19" i="150"/>
  <c r="T19" i="150" s="1"/>
  <c r="T18" i="150"/>
  <c r="Q18" i="150"/>
  <c r="Q17" i="150"/>
  <c r="T17" i="150" s="1"/>
  <c r="T16" i="150"/>
  <c r="Q16" i="150"/>
  <c r="Q15" i="150"/>
  <c r="T15" i="150" s="1"/>
  <c r="T14" i="150"/>
  <c r="Q14" i="150"/>
  <c r="Q13" i="150"/>
  <c r="T13" i="150" s="1"/>
  <c r="Q12" i="150"/>
  <c r="T12" i="150" s="1"/>
  <c r="D5" i="150"/>
  <c r="D4" i="150"/>
  <c r="T139" i="138"/>
  <c r="T138" i="138"/>
  <c r="Q135" i="138"/>
  <c r="Q134" i="138"/>
  <c r="Q133" i="138"/>
  <c r="Q132" i="138"/>
  <c r="Q131" i="138"/>
  <c r="Q130" i="138"/>
  <c r="Q129" i="138"/>
  <c r="T128" i="138"/>
  <c r="P127" i="138"/>
  <c r="O127" i="138"/>
  <c r="N127" i="138"/>
  <c r="M127" i="138"/>
  <c r="L127" i="138"/>
  <c r="K127" i="138"/>
  <c r="J127" i="138"/>
  <c r="I127" i="138"/>
  <c r="H127" i="138"/>
  <c r="G127" i="138"/>
  <c r="F127" i="138"/>
  <c r="E127" i="138"/>
  <c r="Q126" i="138"/>
  <c r="Q125" i="138"/>
  <c r="Q124" i="138"/>
  <c r="Q123" i="138"/>
  <c r="Q122" i="138"/>
  <c r="Q121" i="138"/>
  <c r="Q120" i="138"/>
  <c r="Q119" i="138"/>
  <c r="T118" i="138"/>
  <c r="Q114" i="138"/>
  <c r="Q113" i="138"/>
  <c r="Q112" i="138"/>
  <c r="Q111" i="138"/>
  <c r="Q110" i="138"/>
  <c r="T109" i="138"/>
  <c r="P108" i="138"/>
  <c r="O108" i="138"/>
  <c r="N108" i="138"/>
  <c r="M108" i="138"/>
  <c r="L108" i="138"/>
  <c r="K108" i="138"/>
  <c r="J108" i="138"/>
  <c r="I108" i="138"/>
  <c r="H108" i="138"/>
  <c r="G108" i="138"/>
  <c r="F108" i="138"/>
  <c r="E108" i="138"/>
  <c r="Q107" i="138"/>
  <c r="Q106" i="138"/>
  <c r="T105" i="138"/>
  <c r="T104" i="138"/>
  <c r="T102" i="138"/>
  <c r="P100" i="138"/>
  <c r="O100" i="138"/>
  <c r="N100" i="138"/>
  <c r="M100" i="138"/>
  <c r="L100" i="138"/>
  <c r="K100" i="138"/>
  <c r="J100" i="138"/>
  <c r="I100" i="138"/>
  <c r="H100" i="138"/>
  <c r="G100" i="138"/>
  <c r="F100" i="138"/>
  <c r="E100" i="138"/>
  <c r="Q99" i="138"/>
  <c r="T99" i="138" s="1"/>
  <c r="Q98" i="138"/>
  <c r="T98" i="138" s="1"/>
  <c r="Q97" i="138"/>
  <c r="T97" i="138" s="1"/>
  <c r="Q96" i="138"/>
  <c r="T96" i="138" s="1"/>
  <c r="Q95" i="138"/>
  <c r="T95" i="138" s="1"/>
  <c r="Q94" i="138"/>
  <c r="T94" i="138" s="1"/>
  <c r="Q93" i="138"/>
  <c r="T93" i="138" s="1"/>
  <c r="Q92" i="138"/>
  <c r="T92" i="138" s="1"/>
  <c r="Q91" i="138"/>
  <c r="T91" i="138" s="1"/>
  <c r="Q90" i="138"/>
  <c r="T90" i="138" s="1"/>
  <c r="Q89" i="138"/>
  <c r="T89" i="138" s="1"/>
  <c r="Q88" i="138"/>
  <c r="T88" i="138" s="1"/>
  <c r="Q87" i="138"/>
  <c r="T87" i="138" s="1"/>
  <c r="Q86" i="138"/>
  <c r="T86" i="138" s="1"/>
  <c r="Q85" i="138"/>
  <c r="T85" i="138" s="1"/>
  <c r="Q84" i="138"/>
  <c r="T84" i="138" s="1"/>
  <c r="Q83" i="138"/>
  <c r="T83" i="138" s="1"/>
  <c r="Q82" i="138"/>
  <c r="T82" i="138" s="1"/>
  <c r="Q81" i="138"/>
  <c r="T81" i="138" s="1"/>
  <c r="Q80" i="138"/>
  <c r="T80" i="138" s="1"/>
  <c r="Q79" i="138"/>
  <c r="T79" i="138" s="1"/>
  <c r="Q78" i="138"/>
  <c r="T78" i="138" s="1"/>
  <c r="Q77" i="138"/>
  <c r="T77" i="138" s="1"/>
  <c r="Q76" i="138"/>
  <c r="T76" i="138" s="1"/>
  <c r="Q75" i="138"/>
  <c r="T75" i="138" s="1"/>
  <c r="Q74" i="138"/>
  <c r="T74" i="138" s="1"/>
  <c r="Q73" i="138"/>
  <c r="T73" i="138" s="1"/>
  <c r="Q72" i="138"/>
  <c r="T72" i="138" s="1"/>
  <c r="Q71" i="138"/>
  <c r="T71" i="138" s="1"/>
  <c r="Q70" i="138"/>
  <c r="T70" i="138" s="1"/>
  <c r="Q69" i="138"/>
  <c r="T69" i="138" s="1"/>
  <c r="Q68" i="138"/>
  <c r="T68" i="138" s="1"/>
  <c r="Q67" i="138"/>
  <c r="T67" i="138" s="1"/>
  <c r="Q66" i="138"/>
  <c r="T66" i="138" s="1"/>
  <c r="Q65" i="138"/>
  <c r="T65" i="138" s="1"/>
  <c r="Q64" i="138"/>
  <c r="T64" i="138" s="1"/>
  <c r="Q63" i="138"/>
  <c r="T63" i="138" s="1"/>
  <c r="Q62" i="138"/>
  <c r="T62" i="138" s="1"/>
  <c r="Q61" i="138"/>
  <c r="T61" i="138" s="1"/>
  <c r="Q60" i="138"/>
  <c r="T60" i="138" s="1"/>
  <c r="Q59" i="138"/>
  <c r="T59" i="138" s="1"/>
  <c r="Q58" i="138"/>
  <c r="T58" i="138" s="1"/>
  <c r="Q57" i="138"/>
  <c r="T57" i="138" s="1"/>
  <c r="Q56" i="138"/>
  <c r="T56" i="138" s="1"/>
  <c r="Q55" i="138"/>
  <c r="T55" i="138" s="1"/>
  <c r="Q54" i="138"/>
  <c r="T54" i="138" s="1"/>
  <c r="Q53" i="138"/>
  <c r="T53" i="138" s="1"/>
  <c r="Q52" i="138"/>
  <c r="T52" i="138" s="1"/>
  <c r="Q51" i="138"/>
  <c r="T51" i="138" s="1"/>
  <c r="Q50" i="138"/>
  <c r="T50" i="138" s="1"/>
  <c r="Q49" i="138"/>
  <c r="T49" i="138" s="1"/>
  <c r="Q48" i="138"/>
  <c r="T48" i="138" s="1"/>
  <c r="Q47" i="138"/>
  <c r="T47" i="138" s="1"/>
  <c r="Q46" i="138"/>
  <c r="T46" i="138" s="1"/>
  <c r="Q45" i="138"/>
  <c r="T45" i="138" s="1"/>
  <c r="Q44" i="138"/>
  <c r="T44" i="138" s="1"/>
  <c r="Q43" i="138"/>
  <c r="T43" i="138" s="1"/>
  <c r="Q42" i="138"/>
  <c r="T42" i="138" s="1"/>
  <c r="Q41" i="138"/>
  <c r="T41" i="138" s="1"/>
  <c r="Q40" i="138"/>
  <c r="T40" i="138" s="1"/>
  <c r="Q39" i="138"/>
  <c r="T39" i="138" s="1"/>
  <c r="Q38" i="138"/>
  <c r="T38" i="138" s="1"/>
  <c r="Q37" i="138"/>
  <c r="T37" i="138" s="1"/>
  <c r="Q36" i="138"/>
  <c r="T36" i="138" s="1"/>
  <c r="Q35" i="138"/>
  <c r="T35" i="138" s="1"/>
  <c r="Q34" i="138"/>
  <c r="T34" i="138" s="1"/>
  <c r="Q33" i="138"/>
  <c r="T33" i="138" s="1"/>
  <c r="Q32" i="138"/>
  <c r="T32" i="138" s="1"/>
  <c r="T31" i="138"/>
  <c r="T28" i="138"/>
  <c r="Q26" i="138"/>
  <c r="T26" i="138" s="1"/>
  <c r="Q25" i="138"/>
  <c r="T25" i="138" s="1"/>
  <c r="Q24" i="138"/>
  <c r="T24" i="138" s="1"/>
  <c r="Q23" i="138"/>
  <c r="T23" i="138" s="1"/>
  <c r="P27" i="138"/>
  <c r="O27" i="138"/>
  <c r="N27" i="138"/>
  <c r="M27" i="138"/>
  <c r="L27" i="138"/>
  <c r="K27" i="138"/>
  <c r="J27" i="138"/>
  <c r="I27" i="138"/>
  <c r="H27" i="138"/>
  <c r="G27" i="138"/>
  <c r="F27" i="138"/>
  <c r="E27" i="138"/>
  <c r="Q21" i="138"/>
  <c r="T21" i="138" s="1"/>
  <c r="T20" i="138"/>
  <c r="P18" i="138"/>
  <c r="O18" i="138"/>
  <c r="O24" i="81" s="1"/>
  <c r="N18" i="138"/>
  <c r="N24" i="81" s="1"/>
  <c r="M18" i="138"/>
  <c r="M24" i="81" s="1"/>
  <c r="L18" i="138"/>
  <c r="K18" i="138"/>
  <c r="K24" i="81" s="1"/>
  <c r="J18" i="138"/>
  <c r="J24" i="81" s="1"/>
  <c r="I18" i="138"/>
  <c r="I24" i="81" s="1"/>
  <c r="H18" i="138"/>
  <c r="G18" i="138"/>
  <c r="G24" i="81" s="1"/>
  <c r="F18" i="138"/>
  <c r="F24" i="81" s="1"/>
  <c r="E18" i="138"/>
  <c r="E24" i="81" s="1"/>
  <c r="Q17" i="138"/>
  <c r="T17" i="138" s="1"/>
  <c r="Q16" i="138"/>
  <c r="T16" i="138" s="1"/>
  <c r="Q15" i="138"/>
  <c r="T15" i="138" s="1"/>
  <c r="Q14" i="138"/>
  <c r="Q13" i="138"/>
  <c r="T13" i="138" s="1"/>
  <c r="Q12" i="138"/>
  <c r="T12" i="138" s="1"/>
  <c r="D5" i="138"/>
  <c r="D4" i="138"/>
  <c r="T133" i="136"/>
  <c r="P130" i="136"/>
  <c r="O130" i="136"/>
  <c r="N130" i="136"/>
  <c r="M130" i="136"/>
  <c r="L130" i="136"/>
  <c r="K130" i="136"/>
  <c r="J130" i="136"/>
  <c r="I130" i="136"/>
  <c r="H130" i="136"/>
  <c r="G130" i="136"/>
  <c r="F130" i="136"/>
  <c r="E130" i="136"/>
  <c r="Q129" i="136"/>
  <c r="T129" i="136" s="1"/>
  <c r="Q128" i="136"/>
  <c r="T128" i="136" s="1"/>
  <c r="Q127" i="136"/>
  <c r="T127" i="136" s="1"/>
  <c r="Q126" i="136"/>
  <c r="T126" i="136" s="1"/>
  <c r="Q125" i="136"/>
  <c r="T125" i="136" s="1"/>
  <c r="Q124" i="136"/>
  <c r="T124" i="136" s="1"/>
  <c r="Q123" i="136"/>
  <c r="T123" i="136" s="1"/>
  <c r="P121" i="136"/>
  <c r="O121" i="136"/>
  <c r="N121" i="136"/>
  <c r="M121" i="136"/>
  <c r="L121" i="136"/>
  <c r="K121" i="136"/>
  <c r="J121" i="136"/>
  <c r="I121" i="136"/>
  <c r="H121" i="136"/>
  <c r="G121" i="136"/>
  <c r="F121" i="136"/>
  <c r="E121" i="136"/>
  <c r="Q120" i="136"/>
  <c r="T120" i="136" s="1"/>
  <c r="Q119" i="136"/>
  <c r="T119" i="136" s="1"/>
  <c r="Q118" i="136"/>
  <c r="T118" i="136" s="1"/>
  <c r="Q117" i="136"/>
  <c r="T117" i="136" s="1"/>
  <c r="Q116" i="136"/>
  <c r="T116" i="136" s="1"/>
  <c r="Q115" i="136"/>
  <c r="T115" i="136" s="1"/>
  <c r="Q114" i="136"/>
  <c r="T114" i="136" s="1"/>
  <c r="Q113" i="136"/>
  <c r="T113" i="136" s="1"/>
  <c r="Q107" i="136"/>
  <c r="T107" i="136" s="1"/>
  <c r="Q106" i="136"/>
  <c r="T106" i="136" s="1"/>
  <c r="Q105" i="136"/>
  <c r="Q104" i="136"/>
  <c r="T104" i="136" s="1"/>
  <c r="P102" i="136"/>
  <c r="O102" i="136"/>
  <c r="N102" i="136"/>
  <c r="M102" i="136"/>
  <c r="L102" i="136"/>
  <c r="K102" i="136"/>
  <c r="J102" i="136"/>
  <c r="I102" i="136"/>
  <c r="H102" i="136"/>
  <c r="G102" i="136"/>
  <c r="F102" i="136"/>
  <c r="E102" i="136"/>
  <c r="Q101" i="136"/>
  <c r="T101" i="136" s="1"/>
  <c r="Q100" i="136"/>
  <c r="T100" i="136" s="1"/>
  <c r="Q93" i="136"/>
  <c r="T93" i="136" s="1"/>
  <c r="Q92" i="136"/>
  <c r="T92" i="136" s="1"/>
  <c r="Q91" i="136"/>
  <c r="T91" i="136" s="1"/>
  <c r="Q90" i="136"/>
  <c r="Q89" i="136"/>
  <c r="T89" i="136" s="1"/>
  <c r="Q88" i="136"/>
  <c r="T88" i="136" s="1"/>
  <c r="Q87" i="136"/>
  <c r="T87" i="136" s="1"/>
  <c r="Q86" i="136"/>
  <c r="Q85" i="136"/>
  <c r="T85" i="136" s="1"/>
  <c r="Q84" i="136"/>
  <c r="T84" i="136" s="1"/>
  <c r="Q83" i="136"/>
  <c r="T83" i="136" s="1"/>
  <c r="Q82" i="136"/>
  <c r="Q81" i="136"/>
  <c r="T81" i="136" s="1"/>
  <c r="Q80" i="136"/>
  <c r="T80" i="136" s="1"/>
  <c r="Q79" i="136"/>
  <c r="T79" i="136" s="1"/>
  <c r="Q78" i="136"/>
  <c r="Q77" i="136"/>
  <c r="T77" i="136" s="1"/>
  <c r="Q76" i="136"/>
  <c r="T76" i="136" s="1"/>
  <c r="Q75" i="136"/>
  <c r="T75" i="136" s="1"/>
  <c r="Q74" i="136"/>
  <c r="Q72" i="136"/>
  <c r="T72" i="136" s="1"/>
  <c r="Q71" i="136"/>
  <c r="T71" i="136" s="1"/>
  <c r="Q70" i="136"/>
  <c r="T70" i="136" s="1"/>
  <c r="Q69" i="136"/>
  <c r="T69" i="136" s="1"/>
  <c r="Q68" i="136"/>
  <c r="T68" i="136" s="1"/>
  <c r="Q67" i="136"/>
  <c r="T67" i="136" s="1"/>
  <c r="Q66" i="136"/>
  <c r="T66" i="136" s="1"/>
  <c r="Q65" i="136"/>
  <c r="T65" i="136" s="1"/>
  <c r="Q64" i="136"/>
  <c r="T64" i="136" s="1"/>
  <c r="Q63" i="136"/>
  <c r="T63" i="136" s="1"/>
  <c r="Q62" i="136"/>
  <c r="T62" i="136" s="1"/>
  <c r="Q61" i="136"/>
  <c r="T61" i="136" s="1"/>
  <c r="Q60" i="136"/>
  <c r="T60" i="136" s="1"/>
  <c r="Q59" i="136"/>
  <c r="T59" i="136" s="1"/>
  <c r="Q58" i="136"/>
  <c r="T58" i="136" s="1"/>
  <c r="Q57" i="136"/>
  <c r="T57" i="136" s="1"/>
  <c r="Q56" i="136"/>
  <c r="T56" i="136" s="1"/>
  <c r="Q55" i="136"/>
  <c r="T55" i="136" s="1"/>
  <c r="Q54" i="136"/>
  <c r="T54" i="136" s="1"/>
  <c r="Q53" i="136"/>
  <c r="T53" i="136" s="1"/>
  <c r="Q52" i="136"/>
  <c r="T52" i="136" s="1"/>
  <c r="Q51" i="136"/>
  <c r="T51" i="136" s="1"/>
  <c r="Q50" i="136"/>
  <c r="T50" i="136" s="1"/>
  <c r="Q49" i="136"/>
  <c r="T49" i="136" s="1"/>
  <c r="Q48" i="136"/>
  <c r="T48" i="136" s="1"/>
  <c r="Q47" i="136"/>
  <c r="T47" i="136" s="1"/>
  <c r="Q46" i="136"/>
  <c r="T46" i="136" s="1"/>
  <c r="Q45" i="136"/>
  <c r="T45" i="136" s="1"/>
  <c r="Q44" i="136"/>
  <c r="T44" i="136" s="1"/>
  <c r="Q43" i="136"/>
  <c r="T43" i="136" s="1"/>
  <c r="Q42" i="136"/>
  <c r="T42" i="136" s="1"/>
  <c r="Q41" i="136"/>
  <c r="T41" i="136" s="1"/>
  <c r="Q40" i="136"/>
  <c r="T40" i="136" s="1"/>
  <c r="Q39" i="136"/>
  <c r="T39" i="136" s="1"/>
  <c r="Q38" i="136"/>
  <c r="T38" i="136" s="1"/>
  <c r="Q37" i="136"/>
  <c r="T37" i="136" s="1"/>
  <c r="Q36" i="136"/>
  <c r="T36" i="136" s="1"/>
  <c r="Q35" i="136"/>
  <c r="T35" i="136" s="1"/>
  <c r="Q34" i="136"/>
  <c r="T34" i="136" s="1"/>
  <c r="Q33" i="136"/>
  <c r="T33" i="136" s="1"/>
  <c r="Q32" i="136"/>
  <c r="T32" i="136" s="1"/>
  <c r="Q31" i="136"/>
  <c r="T31" i="136" s="1"/>
  <c r="Q30" i="136"/>
  <c r="T30" i="136" s="1"/>
  <c r="Q29" i="136"/>
  <c r="T29" i="136" s="1"/>
  <c r="Q28" i="136"/>
  <c r="T28" i="136" s="1"/>
  <c r="Q27" i="136"/>
  <c r="T27" i="136" s="1"/>
  <c r="Q26" i="136"/>
  <c r="T26" i="136" s="1"/>
  <c r="P21" i="136"/>
  <c r="O21" i="136"/>
  <c r="N21" i="136"/>
  <c r="M21" i="136"/>
  <c r="L21" i="136"/>
  <c r="K21" i="136"/>
  <c r="J21" i="136"/>
  <c r="I21" i="136"/>
  <c r="H21" i="136"/>
  <c r="G21" i="136"/>
  <c r="F21" i="136"/>
  <c r="E21" i="136"/>
  <c r="Q20" i="136"/>
  <c r="T20" i="136" s="1"/>
  <c r="Q19" i="136"/>
  <c r="T19" i="136" s="1"/>
  <c r="Q18" i="136"/>
  <c r="T18" i="136" s="1"/>
  <c r="T17" i="136"/>
  <c r="P15" i="136"/>
  <c r="O15" i="136"/>
  <c r="N15" i="136"/>
  <c r="M15" i="136"/>
  <c r="L15" i="136"/>
  <c r="K15" i="136"/>
  <c r="K20" i="81" s="1"/>
  <c r="J15" i="136"/>
  <c r="I15" i="136"/>
  <c r="H15" i="136"/>
  <c r="G15" i="136"/>
  <c r="F15" i="136"/>
  <c r="E15" i="136"/>
  <c r="Q14" i="136"/>
  <c r="Q13" i="136"/>
  <c r="T13" i="136" s="1"/>
  <c r="Q12" i="136"/>
  <c r="T12" i="136" s="1"/>
  <c r="D5" i="136"/>
  <c r="D4" i="136"/>
  <c r="T137" i="135"/>
  <c r="P134" i="135"/>
  <c r="O134" i="135"/>
  <c r="N134" i="135"/>
  <c r="M134" i="135"/>
  <c r="L134" i="135"/>
  <c r="K134" i="135"/>
  <c r="J134" i="135"/>
  <c r="I134" i="135"/>
  <c r="H134" i="135"/>
  <c r="G134" i="135"/>
  <c r="F134" i="135"/>
  <c r="E134" i="135"/>
  <c r="Q133" i="135"/>
  <c r="Q132" i="135"/>
  <c r="Q131" i="135"/>
  <c r="T131" i="135" s="1"/>
  <c r="Q130" i="135"/>
  <c r="T130" i="135" s="1"/>
  <c r="Q129" i="135"/>
  <c r="T129" i="135" s="1"/>
  <c r="Q128" i="135"/>
  <c r="T128" i="135" s="1"/>
  <c r="Q127" i="135"/>
  <c r="T127" i="135" s="1"/>
  <c r="Q124" i="135"/>
  <c r="T124" i="135" s="1"/>
  <c r="T122" i="135"/>
  <c r="T120" i="135"/>
  <c r="T119" i="135"/>
  <c r="T118" i="135"/>
  <c r="T114" i="135"/>
  <c r="T113" i="135"/>
  <c r="T109" i="135"/>
  <c r="Q105" i="135"/>
  <c r="T105" i="135" s="1"/>
  <c r="Q104" i="135"/>
  <c r="T101" i="135"/>
  <c r="T98" i="135"/>
  <c r="T97" i="135"/>
  <c r="Q97" i="135"/>
  <c r="T96" i="135"/>
  <c r="Q96" i="135"/>
  <c r="T95" i="135"/>
  <c r="Q95" i="135"/>
  <c r="T94" i="135"/>
  <c r="Q94" i="135"/>
  <c r="T93" i="135"/>
  <c r="Q93" i="135"/>
  <c r="T92" i="135"/>
  <c r="Q92" i="135"/>
  <c r="T91" i="135"/>
  <c r="Q91" i="135"/>
  <c r="T90" i="135"/>
  <c r="Q90" i="135"/>
  <c r="T89" i="135"/>
  <c r="Q89" i="135"/>
  <c r="T88" i="135"/>
  <c r="Q88" i="135"/>
  <c r="T87" i="135"/>
  <c r="Q87" i="135"/>
  <c r="T86" i="135"/>
  <c r="Q85" i="135"/>
  <c r="T85" i="135" s="1"/>
  <c r="Q84" i="135"/>
  <c r="T84" i="135" s="1"/>
  <c r="Q83" i="135"/>
  <c r="Q82" i="135"/>
  <c r="T82" i="135" s="1"/>
  <c r="Q81" i="135"/>
  <c r="T81" i="135" s="1"/>
  <c r="Q80" i="135"/>
  <c r="T80" i="135" s="1"/>
  <c r="Q79" i="135"/>
  <c r="Q78" i="135"/>
  <c r="T78" i="135" s="1"/>
  <c r="Q77" i="135"/>
  <c r="T77" i="135" s="1"/>
  <c r="Q76" i="135"/>
  <c r="T76" i="135" s="1"/>
  <c r="Q75" i="135"/>
  <c r="Q74" i="135"/>
  <c r="T74" i="135" s="1"/>
  <c r="Q73" i="135"/>
  <c r="T73" i="135" s="1"/>
  <c r="Q72" i="135"/>
  <c r="T72" i="135" s="1"/>
  <c r="Q71" i="135"/>
  <c r="Q70" i="135"/>
  <c r="T70" i="135" s="1"/>
  <c r="Q69" i="135"/>
  <c r="T69" i="135" s="1"/>
  <c r="Q68" i="135"/>
  <c r="T68" i="135" s="1"/>
  <c r="Q67" i="135"/>
  <c r="Q66" i="135"/>
  <c r="T66" i="135" s="1"/>
  <c r="Q65" i="135"/>
  <c r="T65" i="135" s="1"/>
  <c r="Q64" i="135"/>
  <c r="T64" i="135" s="1"/>
  <c r="Q63" i="135"/>
  <c r="Q62" i="135"/>
  <c r="T62" i="135" s="1"/>
  <c r="Q61" i="135"/>
  <c r="T61" i="135" s="1"/>
  <c r="Q60" i="135"/>
  <c r="T60" i="135" s="1"/>
  <c r="Q59" i="135"/>
  <c r="Q58" i="135"/>
  <c r="T58" i="135" s="1"/>
  <c r="Q57" i="135"/>
  <c r="T57" i="135" s="1"/>
  <c r="Q56" i="135"/>
  <c r="T56" i="135" s="1"/>
  <c r="Q55" i="135"/>
  <c r="T55" i="135" s="1"/>
  <c r="Q54" i="135"/>
  <c r="T54" i="135" s="1"/>
  <c r="Q53" i="135"/>
  <c r="T53" i="135" s="1"/>
  <c r="Q52" i="135"/>
  <c r="T52" i="135" s="1"/>
  <c r="Q51" i="135"/>
  <c r="T51" i="135" s="1"/>
  <c r="Q50" i="135"/>
  <c r="T50" i="135" s="1"/>
  <c r="Q49" i="135"/>
  <c r="T49" i="135" s="1"/>
  <c r="Q48" i="135"/>
  <c r="T48" i="135" s="1"/>
  <c r="Q47" i="135"/>
  <c r="T47" i="135" s="1"/>
  <c r="Q46" i="135"/>
  <c r="T46" i="135" s="1"/>
  <c r="Q45" i="135"/>
  <c r="T45" i="135" s="1"/>
  <c r="Q44" i="135"/>
  <c r="T44" i="135" s="1"/>
  <c r="Q43" i="135"/>
  <c r="T43" i="135" s="1"/>
  <c r="Q42" i="135"/>
  <c r="T42" i="135" s="1"/>
  <c r="Q41" i="135"/>
  <c r="T41" i="135" s="1"/>
  <c r="Q40" i="135"/>
  <c r="T40" i="135" s="1"/>
  <c r="Q39" i="135"/>
  <c r="T39" i="135" s="1"/>
  <c r="Q38" i="135"/>
  <c r="T38" i="135" s="1"/>
  <c r="Q37" i="135"/>
  <c r="T37" i="135" s="1"/>
  <c r="Q36" i="135"/>
  <c r="T36" i="135" s="1"/>
  <c r="Q35" i="135"/>
  <c r="T35" i="135" s="1"/>
  <c r="Q34" i="135"/>
  <c r="T34" i="135" s="1"/>
  <c r="Q33" i="135"/>
  <c r="T33" i="135" s="1"/>
  <c r="Q32" i="135"/>
  <c r="T32" i="135" s="1"/>
  <c r="Q31" i="135"/>
  <c r="T31" i="135" s="1"/>
  <c r="Q30" i="135"/>
  <c r="T30" i="135" s="1"/>
  <c r="P25" i="135"/>
  <c r="O25" i="135"/>
  <c r="N25" i="135"/>
  <c r="M25" i="135"/>
  <c r="L25" i="135"/>
  <c r="K25" i="135"/>
  <c r="J25" i="135"/>
  <c r="I25" i="135"/>
  <c r="H25" i="135"/>
  <c r="G25" i="135"/>
  <c r="F25" i="135"/>
  <c r="E25" i="135"/>
  <c r="Q24" i="135"/>
  <c r="T24" i="135" s="1"/>
  <c r="Q23" i="135"/>
  <c r="T23" i="135" s="1"/>
  <c r="Q22" i="135"/>
  <c r="T22" i="135" s="1"/>
  <c r="Q21" i="135"/>
  <c r="T21" i="135" s="1"/>
  <c r="Q20" i="135"/>
  <c r="T20" i="135" s="1"/>
  <c r="Q19" i="135"/>
  <c r="T19" i="135" s="1"/>
  <c r="Q18" i="135"/>
  <c r="T18" i="135" s="1"/>
  <c r="Q17" i="135"/>
  <c r="T17" i="135" s="1"/>
  <c r="P14" i="135"/>
  <c r="O14" i="135"/>
  <c r="O19" i="81" s="1"/>
  <c r="N14" i="135"/>
  <c r="N19" i="81" s="1"/>
  <c r="M14" i="135"/>
  <c r="M19" i="81" s="1"/>
  <c r="L14" i="135"/>
  <c r="K14" i="135"/>
  <c r="K19" i="81" s="1"/>
  <c r="J14" i="135"/>
  <c r="J19" i="81" s="1"/>
  <c r="I14" i="135"/>
  <c r="I19" i="81" s="1"/>
  <c r="H14" i="135"/>
  <c r="G14" i="135"/>
  <c r="G19" i="81" s="1"/>
  <c r="F14" i="135"/>
  <c r="F19" i="81" s="1"/>
  <c r="E14" i="135"/>
  <c r="E19" i="81" s="1"/>
  <c r="Q13" i="135"/>
  <c r="T13" i="135" s="1"/>
  <c r="Q12" i="135"/>
  <c r="T12" i="135" s="1"/>
  <c r="D5" i="135"/>
  <c r="D4" i="135"/>
  <c r="Q152" i="134"/>
  <c r="T152" i="134" s="1"/>
  <c r="Q151" i="134"/>
  <c r="T151" i="134" s="1"/>
  <c r="Q150" i="134"/>
  <c r="T150" i="134" s="1"/>
  <c r="Q149" i="134"/>
  <c r="T149" i="134" s="1"/>
  <c r="Q146" i="134"/>
  <c r="Q145" i="134"/>
  <c r="T145" i="134" s="1"/>
  <c r="Q119" i="134"/>
  <c r="T119" i="134" s="1"/>
  <c r="Q118" i="134"/>
  <c r="T118" i="134" s="1"/>
  <c r="Q117" i="134"/>
  <c r="T117" i="134" s="1"/>
  <c r="Q116" i="134"/>
  <c r="Q115" i="134"/>
  <c r="T115" i="134" s="1"/>
  <c r="Q114" i="134"/>
  <c r="T114" i="134" s="1"/>
  <c r="Q113" i="134"/>
  <c r="T113" i="134" s="1"/>
  <c r="Q112" i="134"/>
  <c r="Q111" i="134"/>
  <c r="T111" i="134" s="1"/>
  <c r="Q110" i="134"/>
  <c r="T110" i="134" s="1"/>
  <c r="Q109" i="134"/>
  <c r="T109" i="134" s="1"/>
  <c r="Q107" i="134"/>
  <c r="T107" i="134" s="1"/>
  <c r="Q106" i="134"/>
  <c r="T106" i="134" s="1"/>
  <c r="Q105" i="134"/>
  <c r="T105" i="134" s="1"/>
  <c r="Q104" i="134"/>
  <c r="Q103" i="134"/>
  <c r="T103" i="134" s="1"/>
  <c r="Q102" i="134"/>
  <c r="T102" i="134" s="1"/>
  <c r="Q101" i="134"/>
  <c r="T101" i="134" s="1"/>
  <c r="Q100" i="134"/>
  <c r="Q99" i="134"/>
  <c r="T99" i="134" s="1"/>
  <c r="Q98" i="134"/>
  <c r="T98" i="134" s="1"/>
  <c r="Q97" i="134"/>
  <c r="T97" i="134" s="1"/>
  <c r="Q96" i="134"/>
  <c r="Q95" i="134"/>
  <c r="T95" i="134" s="1"/>
  <c r="Q94" i="134"/>
  <c r="T94" i="134" s="1"/>
  <c r="Q93" i="134"/>
  <c r="T93" i="134" s="1"/>
  <c r="Q92" i="134"/>
  <c r="Q91" i="134"/>
  <c r="Q90" i="134"/>
  <c r="Q89" i="134"/>
  <c r="Q88" i="134"/>
  <c r="Q87" i="134"/>
  <c r="Q86" i="134"/>
  <c r="Q85" i="134"/>
  <c r="T85" i="134" s="1"/>
  <c r="Q84" i="134"/>
  <c r="T84" i="134" s="1"/>
  <c r="Q83" i="134"/>
  <c r="T83" i="134" s="1"/>
  <c r="Q82" i="134"/>
  <c r="Q81" i="134"/>
  <c r="T81" i="134" s="1"/>
  <c r="Q80" i="134"/>
  <c r="T80" i="134" s="1"/>
  <c r="Q79" i="134"/>
  <c r="T79" i="134" s="1"/>
  <c r="Q78" i="134"/>
  <c r="Q77" i="134"/>
  <c r="T77" i="134" s="1"/>
  <c r="Q76" i="134"/>
  <c r="T76" i="134" s="1"/>
  <c r="Q75" i="134"/>
  <c r="T75" i="134" s="1"/>
  <c r="Q74" i="134"/>
  <c r="Q73" i="134"/>
  <c r="T73" i="134" s="1"/>
  <c r="Q72" i="134"/>
  <c r="T72" i="134" s="1"/>
  <c r="Q71" i="134"/>
  <c r="T71" i="134" s="1"/>
  <c r="Q70" i="134"/>
  <c r="Q69" i="134"/>
  <c r="T69" i="134" s="1"/>
  <c r="Q68" i="134"/>
  <c r="T68" i="134" s="1"/>
  <c r="Q67" i="134"/>
  <c r="T67" i="134" s="1"/>
  <c r="Q66" i="134"/>
  <c r="Q65" i="134"/>
  <c r="T65" i="134" s="1"/>
  <c r="Q64" i="134"/>
  <c r="T64" i="134" s="1"/>
  <c r="Q63" i="134"/>
  <c r="T63" i="134" s="1"/>
  <c r="Q62" i="134"/>
  <c r="Q61" i="134"/>
  <c r="T61" i="134" s="1"/>
  <c r="Q60" i="134"/>
  <c r="Q59" i="134"/>
  <c r="Q58" i="134"/>
  <c r="T58" i="134" s="1"/>
  <c r="Q57" i="134"/>
  <c r="T57" i="134" s="1"/>
  <c r="Q56" i="134"/>
  <c r="T56" i="134" s="1"/>
  <c r="Q55" i="134"/>
  <c r="T55" i="134" s="1"/>
  <c r="Q54" i="134"/>
  <c r="T54" i="134" s="1"/>
  <c r="Q53" i="134"/>
  <c r="T53" i="134" s="1"/>
  <c r="Q52" i="134"/>
  <c r="T52" i="134" s="1"/>
  <c r="P47" i="134"/>
  <c r="O47" i="134"/>
  <c r="N47" i="134"/>
  <c r="M47" i="134"/>
  <c r="L47" i="134"/>
  <c r="K47" i="134"/>
  <c r="J47" i="134"/>
  <c r="I47" i="134"/>
  <c r="H47" i="134"/>
  <c r="G47" i="134"/>
  <c r="F47" i="134"/>
  <c r="E47" i="134"/>
  <c r="Q46" i="134"/>
  <c r="T46" i="134" s="1"/>
  <c r="Q45" i="134"/>
  <c r="T45" i="134" s="1"/>
  <c r="Q44" i="134"/>
  <c r="T44" i="134" s="1"/>
  <c r="Q43" i="134"/>
  <c r="T43" i="134" s="1"/>
  <c r="Q42" i="134"/>
  <c r="T42" i="134" s="1"/>
  <c r="Q41" i="134"/>
  <c r="T41" i="134" s="1"/>
  <c r="Q40" i="134"/>
  <c r="T40" i="134" s="1"/>
  <c r="Q39" i="134"/>
  <c r="T39" i="134" s="1"/>
  <c r="Q38" i="134"/>
  <c r="T38" i="134" s="1"/>
  <c r="Q37" i="134"/>
  <c r="T37" i="134" s="1"/>
  <c r="Q36" i="134"/>
  <c r="T36" i="134" s="1"/>
  <c r="Q35" i="134"/>
  <c r="T35" i="134" s="1"/>
  <c r="Q34" i="134"/>
  <c r="T34" i="134" s="1"/>
  <c r="Q33" i="134"/>
  <c r="T33" i="134" s="1"/>
  <c r="Q32" i="134"/>
  <c r="T32" i="134" s="1"/>
  <c r="Q31" i="134"/>
  <c r="T31" i="134" s="1"/>
  <c r="P28" i="134"/>
  <c r="O28" i="134"/>
  <c r="N28" i="134"/>
  <c r="M28" i="134"/>
  <c r="L28" i="134"/>
  <c r="K28" i="134"/>
  <c r="J28" i="134"/>
  <c r="I28" i="134"/>
  <c r="H28" i="134"/>
  <c r="G28" i="134"/>
  <c r="F28" i="134"/>
  <c r="E28" i="134"/>
  <c r="Q27" i="134"/>
  <c r="T27" i="134" s="1"/>
  <c r="Q26" i="134"/>
  <c r="T26" i="134" s="1"/>
  <c r="Q25" i="134"/>
  <c r="T25" i="134" s="1"/>
  <c r="Q24" i="134"/>
  <c r="T24" i="134" s="1"/>
  <c r="Q23" i="134"/>
  <c r="T23" i="134" s="1"/>
  <c r="Q22" i="134"/>
  <c r="T22" i="134" s="1"/>
  <c r="Q21" i="134"/>
  <c r="T21" i="134" s="1"/>
  <c r="Q20" i="134"/>
  <c r="T20" i="134" s="1"/>
  <c r="Q19" i="134"/>
  <c r="T19" i="134" s="1"/>
  <c r="Q18" i="134"/>
  <c r="T18" i="134" s="1"/>
  <c r="Q17" i="134"/>
  <c r="T17" i="134" s="1"/>
  <c r="Q16" i="134"/>
  <c r="T16" i="134" s="1"/>
  <c r="Q15" i="134"/>
  <c r="T15" i="134" s="1"/>
  <c r="Q14" i="134"/>
  <c r="Q13" i="134"/>
  <c r="T13" i="134" s="1"/>
  <c r="Q12" i="134"/>
  <c r="T12" i="134" s="1"/>
  <c r="D5" i="134"/>
  <c r="D4" i="134"/>
  <c r="Q93" i="81"/>
  <c r="U93" i="81" s="1"/>
  <c r="Q92" i="81"/>
  <c r="U92" i="81" s="1"/>
  <c r="Q91" i="81"/>
  <c r="U91" i="81" s="1"/>
  <c r="Q90" i="81"/>
  <c r="U90" i="81" s="1"/>
  <c r="P62" i="81"/>
  <c r="O62" i="81"/>
  <c r="N62" i="81"/>
  <c r="M62" i="81"/>
  <c r="L62" i="81"/>
  <c r="K62" i="81"/>
  <c r="J62" i="81"/>
  <c r="I62" i="81"/>
  <c r="H62" i="81"/>
  <c r="G62" i="81"/>
  <c r="F62" i="81"/>
  <c r="E62" i="81"/>
  <c r="P59" i="81"/>
  <c r="O59" i="81"/>
  <c r="N59" i="81"/>
  <c r="M59" i="81"/>
  <c r="L59" i="81"/>
  <c r="K59" i="81"/>
  <c r="J59" i="81"/>
  <c r="I59" i="81"/>
  <c r="H59" i="81"/>
  <c r="G59" i="81"/>
  <c r="F59" i="81"/>
  <c r="E59" i="81"/>
  <c r="P57" i="81"/>
  <c r="O57" i="81"/>
  <c r="N57" i="81"/>
  <c r="M57" i="81"/>
  <c r="L57" i="81"/>
  <c r="K57" i="81"/>
  <c r="J57" i="81"/>
  <c r="I57" i="81"/>
  <c r="H57" i="81"/>
  <c r="G57" i="81"/>
  <c r="F57" i="81"/>
  <c r="E57" i="81"/>
  <c r="P53" i="81"/>
  <c r="O53" i="81"/>
  <c r="N53" i="81"/>
  <c r="M53" i="81"/>
  <c r="L53" i="81"/>
  <c r="K53" i="81"/>
  <c r="J53" i="81"/>
  <c r="I53" i="81"/>
  <c r="H53" i="81"/>
  <c r="G53" i="81"/>
  <c r="F53" i="81"/>
  <c r="E53" i="81"/>
  <c r="P52" i="81"/>
  <c r="O52" i="81"/>
  <c r="N52" i="81"/>
  <c r="M52" i="81"/>
  <c r="L52" i="81"/>
  <c r="K52" i="81"/>
  <c r="J52" i="81"/>
  <c r="I52" i="81"/>
  <c r="H52" i="81"/>
  <c r="G52" i="81"/>
  <c r="F52" i="81"/>
  <c r="E52" i="81"/>
  <c r="P51" i="81"/>
  <c r="O51" i="81"/>
  <c r="N51" i="81"/>
  <c r="M51" i="81"/>
  <c r="L51" i="81"/>
  <c r="K51" i="81"/>
  <c r="J51" i="81"/>
  <c r="I51" i="81"/>
  <c r="H51" i="81"/>
  <c r="G51" i="81"/>
  <c r="F51" i="81"/>
  <c r="E51" i="81"/>
  <c r="P50" i="81"/>
  <c r="O50" i="81"/>
  <c r="N50" i="81"/>
  <c r="M50" i="81"/>
  <c r="L50" i="81"/>
  <c r="K50" i="81"/>
  <c r="J50" i="81"/>
  <c r="I50" i="81"/>
  <c r="H50" i="81"/>
  <c r="G50" i="81"/>
  <c r="F50" i="81"/>
  <c r="E50" i="81"/>
  <c r="P48" i="81"/>
  <c r="O48" i="81"/>
  <c r="N48" i="81"/>
  <c r="M48" i="81"/>
  <c r="E48" i="81"/>
  <c r="Q44" i="81"/>
  <c r="U44" i="81" s="1"/>
  <c r="Q41" i="81"/>
  <c r="U41" i="81" s="1"/>
  <c r="Q39" i="81"/>
  <c r="Q35" i="81"/>
  <c r="U35" i="81" s="1"/>
  <c r="Q34" i="81"/>
  <c r="U34" i="81" s="1"/>
  <c r="Q33" i="81"/>
  <c r="U33" i="81" s="1"/>
  <c r="Q32" i="81"/>
  <c r="U32" i="81" s="1"/>
  <c r="Q30" i="81"/>
  <c r="U30" i="81" s="1"/>
  <c r="Q26" i="81"/>
  <c r="Q23" i="81"/>
  <c r="Q21" i="81"/>
  <c r="Q17" i="81"/>
  <c r="Q16" i="81"/>
  <c r="Q15" i="81"/>
  <c r="Q14" i="81"/>
  <c r="P13" i="81"/>
  <c r="O13" i="81"/>
  <c r="N13" i="81"/>
  <c r="M13" i="81"/>
  <c r="L13" i="81"/>
  <c r="K13" i="81"/>
  <c r="J13" i="81"/>
  <c r="I13" i="81"/>
  <c r="H13" i="81"/>
  <c r="G13" i="81"/>
  <c r="F13" i="81"/>
  <c r="E13" i="81"/>
  <c r="Q12" i="81"/>
  <c r="R48" i="81" s="1"/>
  <c r="D5" i="81"/>
  <c r="D4" i="81"/>
  <c r="T123" i="149"/>
  <c r="E120" i="149"/>
  <c r="T118" i="149"/>
  <c r="T117" i="149"/>
  <c r="Q116" i="149"/>
  <c r="W199" i="108" s="1"/>
  <c r="Q115" i="149"/>
  <c r="T115" i="149" s="1"/>
  <c r="Q114" i="149"/>
  <c r="T114" i="149" s="1"/>
  <c r="Q113" i="149"/>
  <c r="T113" i="149" s="1"/>
  <c r="Q112" i="149"/>
  <c r="T112" i="149" s="1"/>
  <c r="E110" i="149"/>
  <c r="Q109" i="149"/>
  <c r="T109" i="149" s="1"/>
  <c r="Q108" i="149"/>
  <c r="T108" i="149" s="1"/>
  <c r="Q107" i="149"/>
  <c r="T107" i="149" s="1"/>
  <c r="Q106" i="149"/>
  <c r="Q105" i="149"/>
  <c r="T105" i="149" s="1"/>
  <c r="Q104" i="149"/>
  <c r="T104" i="149" s="1"/>
  <c r="Q103" i="149"/>
  <c r="T103" i="149" s="1"/>
  <c r="Q102" i="149"/>
  <c r="O82" i="18"/>
  <c r="N82" i="18"/>
  <c r="M82" i="18"/>
  <c r="L82" i="18"/>
  <c r="K82" i="18"/>
  <c r="J82" i="18"/>
  <c r="I82" i="18"/>
  <c r="H82" i="18"/>
  <c r="G82" i="18"/>
  <c r="F82" i="18"/>
  <c r="E100" i="149"/>
  <c r="E82" i="18" s="1"/>
  <c r="Q99" i="149"/>
  <c r="T99" i="149" s="1"/>
  <c r="Q98" i="149"/>
  <c r="T98" i="149" s="1"/>
  <c r="Q97" i="149"/>
  <c r="Q96" i="149"/>
  <c r="T96" i="149" s="1"/>
  <c r="Q95" i="149"/>
  <c r="T95" i="149" s="1"/>
  <c r="Q94" i="149"/>
  <c r="E92" i="149"/>
  <c r="Q91" i="149"/>
  <c r="T91" i="149" s="1"/>
  <c r="Q90" i="149"/>
  <c r="Q82" i="149"/>
  <c r="T82" i="149" s="1"/>
  <c r="Q81" i="149"/>
  <c r="T81" i="149" s="1"/>
  <c r="Q80" i="149"/>
  <c r="Q79" i="149"/>
  <c r="T79" i="149" s="1"/>
  <c r="Q78" i="149"/>
  <c r="T78" i="149" s="1"/>
  <c r="Q77" i="149"/>
  <c r="T77" i="149" s="1"/>
  <c r="Q76" i="149"/>
  <c r="Q75" i="149"/>
  <c r="Q74" i="149"/>
  <c r="T74" i="149" s="1"/>
  <c r="Q73" i="149"/>
  <c r="Q72" i="149"/>
  <c r="T72" i="149" s="1"/>
  <c r="Q70" i="149"/>
  <c r="T70" i="149" s="1"/>
  <c r="Q69" i="149"/>
  <c r="Q68" i="149"/>
  <c r="T68" i="149" s="1"/>
  <c r="Q67" i="149"/>
  <c r="T67" i="149" s="1"/>
  <c r="Q66" i="149"/>
  <c r="T66" i="149" s="1"/>
  <c r="Q65" i="149"/>
  <c r="Q64" i="149"/>
  <c r="T64" i="149" s="1"/>
  <c r="Q63" i="149"/>
  <c r="T63" i="149" s="1"/>
  <c r="Q62" i="149"/>
  <c r="T62" i="149" s="1"/>
  <c r="Q61" i="149"/>
  <c r="T61" i="149" s="1"/>
  <c r="Q60" i="149"/>
  <c r="T60" i="149" s="1"/>
  <c r="Q59" i="149"/>
  <c r="T59" i="149" s="1"/>
  <c r="Q58" i="149"/>
  <c r="Q57" i="149"/>
  <c r="T57" i="149" s="1"/>
  <c r="Q56" i="149"/>
  <c r="T56" i="149" s="1"/>
  <c r="Q55" i="149"/>
  <c r="T55" i="149" s="1"/>
  <c r="Q54" i="149"/>
  <c r="Q53" i="149"/>
  <c r="T53" i="149" s="1"/>
  <c r="Q52" i="149"/>
  <c r="T52" i="149" s="1"/>
  <c r="Q51" i="149"/>
  <c r="T51" i="149" s="1"/>
  <c r="Q50" i="149"/>
  <c r="T49" i="149"/>
  <c r="T48" i="149"/>
  <c r="T47" i="149"/>
  <c r="T45" i="149"/>
  <c r="T44" i="149"/>
  <c r="T42" i="149"/>
  <c r="T41" i="149"/>
  <c r="T40" i="149"/>
  <c r="Q39" i="149"/>
  <c r="Q38" i="149"/>
  <c r="T38" i="149" s="1"/>
  <c r="Q37" i="149"/>
  <c r="T37" i="149" s="1"/>
  <c r="Q36" i="149"/>
  <c r="T36" i="149" s="1"/>
  <c r="Q35" i="149"/>
  <c r="Q34" i="149"/>
  <c r="T34" i="149" s="1"/>
  <c r="Q33" i="149"/>
  <c r="T33" i="149" s="1"/>
  <c r="Q32" i="149"/>
  <c r="T32" i="149" s="1"/>
  <c r="Q31" i="149"/>
  <c r="Q30" i="149"/>
  <c r="T30" i="149" s="1"/>
  <c r="Q29" i="149"/>
  <c r="T29" i="149" s="1"/>
  <c r="Q28" i="149"/>
  <c r="T28" i="149" s="1"/>
  <c r="Q27" i="149"/>
  <c r="Q26" i="149"/>
  <c r="T26" i="149" s="1"/>
  <c r="Q25" i="149"/>
  <c r="T25" i="149" s="1"/>
  <c r="Q24" i="149"/>
  <c r="T24" i="149" s="1"/>
  <c r="Q23" i="149"/>
  <c r="T23" i="149" s="1"/>
  <c r="Q22" i="149"/>
  <c r="T22" i="149" s="1"/>
  <c r="Q21" i="149"/>
  <c r="T21" i="149" s="1"/>
  <c r="Q20" i="149"/>
  <c r="T20" i="149" s="1"/>
  <c r="Q19" i="149"/>
  <c r="T19" i="149" s="1"/>
  <c r="Q18" i="149"/>
  <c r="T18" i="149" s="1"/>
  <c r="Q17" i="149"/>
  <c r="T17" i="149" s="1"/>
  <c r="Q16" i="149"/>
  <c r="T16" i="149" s="1"/>
  <c r="R15" i="149"/>
  <c r="Q15" i="149"/>
  <c r="D5" i="149"/>
  <c r="D4" i="149"/>
  <c r="Q124" i="147"/>
  <c r="U124" i="147" s="1"/>
  <c r="Q120" i="147"/>
  <c r="U120" i="147" s="1"/>
  <c r="Q118" i="147"/>
  <c r="Q117" i="147"/>
  <c r="Q116" i="147"/>
  <c r="U116" i="147" s="1"/>
  <c r="Q115" i="147"/>
  <c r="U115" i="147" s="1"/>
  <c r="Q114" i="147"/>
  <c r="U114" i="147" s="1"/>
  <c r="Q113" i="147"/>
  <c r="U113" i="147" s="1"/>
  <c r="Q110" i="147"/>
  <c r="U110" i="147" s="1"/>
  <c r="Q109" i="147"/>
  <c r="Q108" i="147"/>
  <c r="U108" i="147" s="1"/>
  <c r="Q107" i="147"/>
  <c r="Q106" i="147"/>
  <c r="Q105" i="147"/>
  <c r="Q104" i="147"/>
  <c r="U104" i="147" s="1"/>
  <c r="Q103" i="147"/>
  <c r="Q100" i="147"/>
  <c r="Q99" i="147"/>
  <c r="U99" i="147" s="1"/>
  <c r="Q96" i="147"/>
  <c r="Q94" i="147"/>
  <c r="Q91" i="147"/>
  <c r="Q90" i="147"/>
  <c r="Q82" i="147"/>
  <c r="U82" i="147" s="1"/>
  <c r="Q81" i="147"/>
  <c r="Q80" i="147"/>
  <c r="U80" i="147" s="1"/>
  <c r="Q79" i="147"/>
  <c r="Q78" i="147"/>
  <c r="U78" i="147" s="1"/>
  <c r="Q77" i="147"/>
  <c r="Q76" i="147"/>
  <c r="U76" i="147" s="1"/>
  <c r="Q75" i="147"/>
  <c r="Q74" i="147"/>
  <c r="U74" i="147" s="1"/>
  <c r="Q73" i="147"/>
  <c r="Q72" i="147"/>
  <c r="U72" i="147" s="1"/>
  <c r="Q70" i="147"/>
  <c r="U70" i="147" s="1"/>
  <c r="Q69" i="147"/>
  <c r="Q68" i="147"/>
  <c r="U68" i="147" s="1"/>
  <c r="Q67" i="147"/>
  <c r="Q66" i="147"/>
  <c r="U66" i="147" s="1"/>
  <c r="Q65" i="147"/>
  <c r="Q64" i="147"/>
  <c r="U64" i="147" s="1"/>
  <c r="Q63" i="147"/>
  <c r="Q62" i="147"/>
  <c r="U62" i="147" s="1"/>
  <c r="Q61" i="147"/>
  <c r="U61" i="147" s="1"/>
  <c r="Q60" i="147"/>
  <c r="Q59" i="147"/>
  <c r="U59" i="147" s="1"/>
  <c r="Q58" i="147"/>
  <c r="Q57" i="147"/>
  <c r="U57" i="147" s="1"/>
  <c r="Q56" i="147"/>
  <c r="Q55" i="147"/>
  <c r="U55" i="147" s="1"/>
  <c r="Q54" i="147"/>
  <c r="Q53" i="147"/>
  <c r="U53" i="147" s="1"/>
  <c r="Q52" i="147"/>
  <c r="Q51" i="147"/>
  <c r="U51" i="147" s="1"/>
  <c r="Q50" i="147"/>
  <c r="Q49" i="147"/>
  <c r="U49" i="147" s="1"/>
  <c r="Q48" i="147"/>
  <c r="Q47" i="147"/>
  <c r="U47" i="147" s="1"/>
  <c r="Q46" i="147"/>
  <c r="Q45" i="147"/>
  <c r="U45" i="147" s="1"/>
  <c r="Q44" i="147"/>
  <c r="Q42" i="147"/>
  <c r="Q41" i="147"/>
  <c r="U41" i="147" s="1"/>
  <c r="Q40" i="147"/>
  <c r="Q39" i="147"/>
  <c r="U39" i="147" s="1"/>
  <c r="Q38" i="147"/>
  <c r="Q37" i="147"/>
  <c r="U37" i="147" s="1"/>
  <c r="Q36" i="147"/>
  <c r="Q35" i="147"/>
  <c r="U35" i="147" s="1"/>
  <c r="Q34" i="147"/>
  <c r="U34" i="147" s="1"/>
  <c r="Q33" i="147"/>
  <c r="U33" i="147" s="1"/>
  <c r="Q32" i="147"/>
  <c r="U32" i="147" s="1"/>
  <c r="Q31" i="147"/>
  <c r="U31" i="147" s="1"/>
  <c r="Q30" i="147"/>
  <c r="U30" i="147" s="1"/>
  <c r="Q29" i="147"/>
  <c r="U29" i="147" s="1"/>
  <c r="Q28" i="147"/>
  <c r="U28" i="147" s="1"/>
  <c r="Q27" i="147"/>
  <c r="U27" i="147" s="1"/>
  <c r="Q26" i="147"/>
  <c r="U26" i="147" s="1"/>
  <c r="Q25" i="147"/>
  <c r="U25" i="147" s="1"/>
  <c r="Q24" i="147"/>
  <c r="U24" i="147" s="1"/>
  <c r="Q23" i="147"/>
  <c r="Q22" i="147"/>
  <c r="U22" i="147" s="1"/>
  <c r="Q21" i="147"/>
  <c r="U21" i="147" s="1"/>
  <c r="Q20" i="147"/>
  <c r="U20" i="147" s="1"/>
  <c r="Q19" i="147"/>
  <c r="U19" i="147" s="1"/>
  <c r="Q18" i="147"/>
  <c r="U18" i="147" s="1"/>
  <c r="Q17" i="147"/>
  <c r="U17" i="147" s="1"/>
  <c r="Q16" i="147"/>
  <c r="U16" i="147" s="1"/>
  <c r="S15" i="147"/>
  <c r="Q15" i="147"/>
  <c r="U15" i="147" s="1"/>
  <c r="Q14" i="147"/>
  <c r="Q134" i="146"/>
  <c r="P131" i="146"/>
  <c r="O131" i="146"/>
  <c r="N131" i="146"/>
  <c r="M131" i="146"/>
  <c r="L131" i="146"/>
  <c r="K131" i="146"/>
  <c r="J131" i="146"/>
  <c r="I131" i="146"/>
  <c r="H131" i="146"/>
  <c r="G131" i="146"/>
  <c r="F131" i="146"/>
  <c r="E131" i="146"/>
  <c r="Q130" i="146"/>
  <c r="Q129" i="146"/>
  <c r="Q128" i="146"/>
  <c r="Q127" i="146"/>
  <c r="Q126" i="146"/>
  <c r="Q125" i="146"/>
  <c r="Q124" i="146"/>
  <c r="P122" i="146"/>
  <c r="O122" i="146"/>
  <c r="N122" i="146"/>
  <c r="M122" i="146"/>
  <c r="L122" i="146"/>
  <c r="K122" i="146"/>
  <c r="J122" i="146"/>
  <c r="I122" i="146"/>
  <c r="H122" i="146"/>
  <c r="G122" i="146"/>
  <c r="F122" i="146"/>
  <c r="E122" i="146"/>
  <c r="Q121" i="146"/>
  <c r="Q120" i="146"/>
  <c r="Q119" i="146"/>
  <c r="Q118" i="146"/>
  <c r="Q117" i="146"/>
  <c r="Q116" i="146"/>
  <c r="Q115" i="146"/>
  <c r="Q114" i="146"/>
  <c r="P112" i="146"/>
  <c r="O112" i="146"/>
  <c r="N112" i="146"/>
  <c r="M112" i="146"/>
  <c r="L112" i="146"/>
  <c r="K112" i="146"/>
  <c r="J112" i="146"/>
  <c r="I112" i="146"/>
  <c r="H112" i="146"/>
  <c r="G112" i="146"/>
  <c r="F112" i="146"/>
  <c r="E112" i="146"/>
  <c r="Q111" i="146"/>
  <c r="Q110" i="146"/>
  <c r="Q109" i="146"/>
  <c r="Q108" i="146"/>
  <c r="Q107" i="146"/>
  <c r="P105" i="146"/>
  <c r="O105" i="146"/>
  <c r="N105" i="146"/>
  <c r="M105" i="146"/>
  <c r="L105" i="146"/>
  <c r="K105" i="146"/>
  <c r="J105" i="146"/>
  <c r="I105" i="146"/>
  <c r="H105" i="146"/>
  <c r="G105" i="146"/>
  <c r="F105" i="146"/>
  <c r="E105" i="146"/>
  <c r="Q104" i="146"/>
  <c r="Q103" i="146"/>
  <c r="Q102" i="146"/>
  <c r="P96" i="146"/>
  <c r="O96" i="146"/>
  <c r="N96" i="146"/>
  <c r="M96" i="146"/>
  <c r="L96" i="146"/>
  <c r="K96" i="146"/>
  <c r="J96" i="146"/>
  <c r="I96" i="146"/>
  <c r="H96" i="146"/>
  <c r="G96" i="146"/>
  <c r="F96" i="146"/>
  <c r="E96" i="146"/>
  <c r="T95" i="146"/>
  <c r="T94" i="146"/>
  <c r="T93" i="146"/>
  <c r="T92" i="146"/>
  <c r="T91" i="146"/>
  <c r="T90" i="146"/>
  <c r="T89" i="146"/>
  <c r="T88" i="146"/>
  <c r="T87" i="146"/>
  <c r="T86" i="146"/>
  <c r="T85" i="146"/>
  <c r="T84" i="146"/>
  <c r="T83" i="146"/>
  <c r="T82" i="146"/>
  <c r="T81" i="146"/>
  <c r="T80" i="146"/>
  <c r="T79" i="146"/>
  <c r="T78" i="146"/>
  <c r="T77" i="146"/>
  <c r="T76" i="146"/>
  <c r="T75" i="146"/>
  <c r="T74" i="146"/>
  <c r="T73" i="146"/>
  <c r="T72" i="146"/>
  <c r="T71" i="146"/>
  <c r="T70" i="146"/>
  <c r="T69" i="146"/>
  <c r="T68" i="146"/>
  <c r="T67" i="146"/>
  <c r="T66" i="146"/>
  <c r="T65" i="146"/>
  <c r="T64" i="146"/>
  <c r="T63" i="146"/>
  <c r="T62" i="146"/>
  <c r="T61" i="146"/>
  <c r="T60" i="146"/>
  <c r="T59" i="146"/>
  <c r="T58" i="146"/>
  <c r="T57" i="146"/>
  <c r="T56" i="146"/>
  <c r="T55" i="146"/>
  <c r="T54" i="146"/>
  <c r="T53" i="146"/>
  <c r="T52" i="146"/>
  <c r="T51" i="146"/>
  <c r="T50" i="146"/>
  <c r="T49" i="146"/>
  <c r="T48" i="146"/>
  <c r="T47" i="146"/>
  <c r="T46" i="146"/>
  <c r="T45" i="146"/>
  <c r="T44" i="146"/>
  <c r="T43" i="146"/>
  <c r="T42" i="146"/>
  <c r="T41" i="146"/>
  <c r="T40" i="146"/>
  <c r="T39" i="146"/>
  <c r="T38" i="146"/>
  <c r="T37" i="146"/>
  <c r="T36" i="146"/>
  <c r="T35" i="146"/>
  <c r="T34" i="146"/>
  <c r="T33" i="146"/>
  <c r="T32" i="146"/>
  <c r="T31" i="146"/>
  <c r="T30" i="146"/>
  <c r="T29" i="146"/>
  <c r="T28" i="146"/>
  <c r="T27" i="146"/>
  <c r="T23" i="146"/>
  <c r="Q21" i="146"/>
  <c r="T21" i="146" s="1"/>
  <c r="Q20" i="146"/>
  <c r="T20" i="146" s="1"/>
  <c r="P19" i="146"/>
  <c r="P22" i="146" s="1"/>
  <c r="P55" i="108" s="1"/>
  <c r="O19" i="146"/>
  <c r="O22" i="146" s="1"/>
  <c r="O55" i="108" s="1"/>
  <c r="N19" i="146"/>
  <c r="N22" i="146" s="1"/>
  <c r="N55" i="108" s="1"/>
  <c r="M19" i="146"/>
  <c r="M22" i="146" s="1"/>
  <c r="M55" i="108" s="1"/>
  <c r="L19" i="146"/>
  <c r="L22" i="146" s="1"/>
  <c r="L55" i="108" s="1"/>
  <c r="K19" i="146"/>
  <c r="K22" i="146" s="1"/>
  <c r="K55" i="108" s="1"/>
  <c r="J19" i="146"/>
  <c r="J22" i="146" s="1"/>
  <c r="J55" i="108" s="1"/>
  <c r="I19" i="146"/>
  <c r="I22" i="146" s="1"/>
  <c r="I55" i="108" s="1"/>
  <c r="H19" i="146"/>
  <c r="H22" i="146" s="1"/>
  <c r="H55" i="108" s="1"/>
  <c r="G19" i="146"/>
  <c r="G22" i="146" s="1"/>
  <c r="G55" i="108" s="1"/>
  <c r="F19" i="146"/>
  <c r="F22" i="146" s="1"/>
  <c r="F55" i="108" s="1"/>
  <c r="E19" i="146"/>
  <c r="P16" i="146"/>
  <c r="P47" i="108" s="1"/>
  <c r="O16" i="146"/>
  <c r="O47" i="108" s="1"/>
  <c r="N16" i="146"/>
  <c r="N47" i="108" s="1"/>
  <c r="M16" i="146"/>
  <c r="M47" i="108" s="1"/>
  <c r="L16" i="146"/>
  <c r="L47" i="108" s="1"/>
  <c r="K16" i="146"/>
  <c r="K47" i="108" s="1"/>
  <c r="J16" i="146"/>
  <c r="J47" i="108" s="1"/>
  <c r="I16" i="146"/>
  <c r="I47" i="108" s="1"/>
  <c r="H16" i="146"/>
  <c r="H47" i="108" s="1"/>
  <c r="G16" i="146"/>
  <c r="G47" i="108" s="1"/>
  <c r="F16" i="146"/>
  <c r="F47" i="108" s="1"/>
  <c r="E16" i="146"/>
  <c r="E47" i="108" s="1"/>
  <c r="Q15" i="146"/>
  <c r="T15" i="146" s="1"/>
  <c r="Q14" i="146"/>
  <c r="T14" i="146" s="1"/>
  <c r="Q13" i="146"/>
  <c r="T13" i="146" s="1"/>
  <c r="Q12" i="146"/>
  <c r="D5" i="146"/>
  <c r="D4" i="146"/>
  <c r="T166" i="121"/>
  <c r="Q162" i="121"/>
  <c r="Q161" i="121"/>
  <c r="Q160" i="121"/>
  <c r="W203" i="108" s="1"/>
  <c r="Q159" i="121"/>
  <c r="T159" i="121" s="1"/>
  <c r="Q158" i="121"/>
  <c r="T158" i="121" s="1"/>
  <c r="Q157" i="121"/>
  <c r="T157" i="121" s="1"/>
  <c r="Q156" i="121"/>
  <c r="Q153" i="121"/>
  <c r="T153" i="121" s="1"/>
  <c r="Q152" i="121"/>
  <c r="T152" i="121" s="1"/>
  <c r="Q151" i="121"/>
  <c r="Q150" i="121"/>
  <c r="T150" i="121" s="1"/>
  <c r="Q149" i="121"/>
  <c r="T149" i="121" s="1"/>
  <c r="Q148" i="121"/>
  <c r="T148" i="121" s="1"/>
  <c r="Q147" i="121"/>
  <c r="Q146" i="121"/>
  <c r="T146" i="121" s="1"/>
  <c r="Q143" i="121"/>
  <c r="T143" i="121" s="1"/>
  <c r="Q142" i="121"/>
  <c r="Q139" i="121"/>
  <c r="Q138" i="121"/>
  <c r="T138" i="121" s="1"/>
  <c r="Q133" i="121"/>
  <c r="T133" i="121" s="1"/>
  <c r="Q132" i="121"/>
  <c r="T125" i="121"/>
  <c r="P125" i="121"/>
  <c r="O125" i="121"/>
  <c r="N125" i="121"/>
  <c r="M125" i="121"/>
  <c r="L125" i="121"/>
  <c r="K125" i="121"/>
  <c r="J125" i="121"/>
  <c r="I125" i="121"/>
  <c r="H125" i="121"/>
  <c r="G125" i="121"/>
  <c r="F125" i="121"/>
  <c r="E125" i="121"/>
  <c r="P124" i="121"/>
  <c r="O124" i="121"/>
  <c r="N124" i="121"/>
  <c r="M124" i="121"/>
  <c r="L124" i="121"/>
  <c r="K124" i="121"/>
  <c r="J124" i="121"/>
  <c r="I124" i="121"/>
  <c r="H124" i="121"/>
  <c r="G124" i="121"/>
  <c r="F124" i="121"/>
  <c r="E124" i="121"/>
  <c r="P123" i="121"/>
  <c r="O123" i="121"/>
  <c r="N123" i="121"/>
  <c r="M123" i="121"/>
  <c r="L123" i="121"/>
  <c r="K123" i="121"/>
  <c r="J123" i="121"/>
  <c r="I123" i="121"/>
  <c r="H123" i="121"/>
  <c r="G123" i="121"/>
  <c r="F123" i="121"/>
  <c r="E123" i="121"/>
  <c r="P122" i="121"/>
  <c r="O122" i="121"/>
  <c r="N122" i="121"/>
  <c r="M122" i="121"/>
  <c r="L122" i="121"/>
  <c r="K122" i="121"/>
  <c r="J122" i="121"/>
  <c r="I122" i="121"/>
  <c r="H122" i="121"/>
  <c r="G122" i="121"/>
  <c r="F122" i="121"/>
  <c r="E122" i="121"/>
  <c r="P121" i="121"/>
  <c r="O121" i="121"/>
  <c r="N121" i="121"/>
  <c r="M121" i="121"/>
  <c r="L121" i="121"/>
  <c r="K121" i="121"/>
  <c r="J121" i="121"/>
  <c r="I121" i="121"/>
  <c r="H121" i="121"/>
  <c r="G121" i="121"/>
  <c r="F121" i="121"/>
  <c r="E121" i="121"/>
  <c r="T120" i="121"/>
  <c r="P118" i="121"/>
  <c r="O118" i="121"/>
  <c r="N118" i="121"/>
  <c r="M118" i="121"/>
  <c r="L118" i="121"/>
  <c r="K118" i="121"/>
  <c r="J118" i="121"/>
  <c r="I118" i="121"/>
  <c r="H118" i="121"/>
  <c r="G118" i="121"/>
  <c r="F118" i="121"/>
  <c r="E118" i="121"/>
  <c r="T117" i="121"/>
  <c r="Q117" i="121"/>
  <c r="Q116" i="121"/>
  <c r="Q115" i="121"/>
  <c r="T115" i="121" s="1"/>
  <c r="Q114" i="121"/>
  <c r="T114" i="121" s="1"/>
  <c r="Q113" i="121"/>
  <c r="T113" i="121" s="1"/>
  <c r="T106" i="121"/>
  <c r="T105" i="121"/>
  <c r="T103" i="121"/>
  <c r="T102" i="121"/>
  <c r="T101" i="121"/>
  <c r="T99" i="121"/>
  <c r="T98" i="121"/>
  <c r="T97" i="121"/>
  <c r="T95" i="121"/>
  <c r="T94" i="121"/>
  <c r="T93" i="121"/>
  <c r="T91" i="121"/>
  <c r="T90" i="121"/>
  <c r="T89" i="121"/>
  <c r="T87" i="121"/>
  <c r="T86" i="121"/>
  <c r="T85" i="121"/>
  <c r="T83" i="121"/>
  <c r="T82" i="121"/>
  <c r="T79" i="121"/>
  <c r="T76" i="121"/>
  <c r="T74" i="121"/>
  <c r="T72" i="121"/>
  <c r="T71" i="121"/>
  <c r="T70" i="121"/>
  <c r="T59" i="121"/>
  <c r="T54" i="121"/>
  <c r="T52" i="121"/>
  <c r="T50" i="121"/>
  <c r="T46" i="121"/>
  <c r="T45" i="121"/>
  <c r="T42" i="121"/>
  <c r="T41" i="121"/>
  <c r="Q34" i="121"/>
  <c r="Q28" i="121"/>
  <c r="T28" i="121" s="1"/>
  <c r="T27" i="121"/>
  <c r="Q27" i="121"/>
  <c r="R34" i="121" s="1"/>
  <c r="Q26" i="121"/>
  <c r="T26" i="121" s="1"/>
  <c r="P25" i="121"/>
  <c r="O25" i="121"/>
  <c r="O44" i="108" s="1"/>
  <c r="N25" i="121"/>
  <c r="M25" i="121"/>
  <c r="L25" i="121"/>
  <c r="K25" i="121"/>
  <c r="J25" i="121"/>
  <c r="I25" i="121"/>
  <c r="H25" i="121"/>
  <c r="G25" i="121"/>
  <c r="G44" i="108" s="1"/>
  <c r="F25" i="121"/>
  <c r="E25" i="121"/>
  <c r="T24" i="121"/>
  <c r="Q24" i="121"/>
  <c r="Q23" i="121"/>
  <c r="T23" i="121" s="1"/>
  <c r="Q22" i="121"/>
  <c r="T22" i="121" s="1"/>
  <c r="Q21" i="121"/>
  <c r="T21" i="121" s="1"/>
  <c r="Q20" i="121"/>
  <c r="P17" i="121"/>
  <c r="P32" i="121" s="1"/>
  <c r="O17" i="121"/>
  <c r="O32" i="121" s="1"/>
  <c r="N17" i="121"/>
  <c r="N32" i="121" s="1"/>
  <c r="M17" i="121"/>
  <c r="M32" i="121" s="1"/>
  <c r="L17" i="121"/>
  <c r="L32" i="121" s="1"/>
  <c r="K17" i="121"/>
  <c r="K32" i="121" s="1"/>
  <c r="J17" i="121"/>
  <c r="J32" i="121" s="1"/>
  <c r="I17" i="121"/>
  <c r="I32" i="121" s="1"/>
  <c r="H17" i="121"/>
  <c r="H32" i="121" s="1"/>
  <c r="G17" i="121"/>
  <c r="G32" i="121" s="1"/>
  <c r="F17" i="121"/>
  <c r="F32" i="121" s="1"/>
  <c r="E17" i="121"/>
  <c r="E32" i="121" s="1"/>
  <c r="T16" i="121"/>
  <c r="Q16" i="121"/>
  <c r="Q15" i="121"/>
  <c r="T15" i="121" s="1"/>
  <c r="Q14" i="121"/>
  <c r="Q13" i="121"/>
  <c r="T13" i="121" s="1"/>
  <c r="Q12" i="121"/>
  <c r="D5" i="121"/>
  <c r="D4" i="121"/>
  <c r="Q175" i="126"/>
  <c r="P175" i="126"/>
  <c r="O175" i="126"/>
  <c r="N175" i="126"/>
  <c r="M175" i="126"/>
  <c r="L175" i="126"/>
  <c r="K175" i="126"/>
  <c r="J175" i="126"/>
  <c r="I175" i="126"/>
  <c r="H175" i="126"/>
  <c r="G175" i="126"/>
  <c r="F175" i="126"/>
  <c r="E175" i="126"/>
  <c r="Q158" i="126"/>
  <c r="T158" i="126" s="1"/>
  <c r="Q157" i="126"/>
  <c r="T157" i="126" s="1"/>
  <c r="Q156" i="126"/>
  <c r="T156" i="126" s="1"/>
  <c r="Q155" i="126"/>
  <c r="Q152" i="126"/>
  <c r="T152" i="126" s="1"/>
  <c r="Q151" i="126"/>
  <c r="T151" i="126" s="1"/>
  <c r="Q132" i="126"/>
  <c r="P124" i="126"/>
  <c r="O124" i="126"/>
  <c r="N124" i="126"/>
  <c r="M124" i="126"/>
  <c r="L124" i="126"/>
  <c r="K124" i="126"/>
  <c r="J124" i="126"/>
  <c r="I124" i="126"/>
  <c r="H124" i="126"/>
  <c r="G124" i="126"/>
  <c r="F124" i="126"/>
  <c r="E124" i="126"/>
  <c r="P123" i="126"/>
  <c r="O123" i="126"/>
  <c r="N123" i="126"/>
  <c r="M123" i="126"/>
  <c r="L123" i="126"/>
  <c r="K123" i="126"/>
  <c r="J123" i="126"/>
  <c r="I123" i="126"/>
  <c r="H123" i="126"/>
  <c r="G123" i="126"/>
  <c r="F123" i="126"/>
  <c r="E123" i="126"/>
  <c r="P122" i="126"/>
  <c r="P17" i="126" s="1"/>
  <c r="P31" i="126" s="1"/>
  <c r="O122" i="126"/>
  <c r="O17" i="126" s="1"/>
  <c r="O31" i="126" s="1"/>
  <c r="N122" i="126"/>
  <c r="N17" i="126" s="1"/>
  <c r="N31" i="126" s="1"/>
  <c r="M122" i="126"/>
  <c r="L122" i="126"/>
  <c r="K122" i="126"/>
  <c r="J122" i="126"/>
  <c r="I122" i="126"/>
  <c r="H122" i="126"/>
  <c r="G122" i="126"/>
  <c r="F122" i="126"/>
  <c r="Q14" i="126" s="1"/>
  <c r="T14" i="126" s="1"/>
  <c r="E122" i="126"/>
  <c r="P121" i="126"/>
  <c r="O121" i="126"/>
  <c r="N121" i="126"/>
  <c r="M121" i="126"/>
  <c r="L121" i="126"/>
  <c r="K121" i="126"/>
  <c r="J121" i="126"/>
  <c r="I121" i="126"/>
  <c r="H121" i="126"/>
  <c r="G121" i="126"/>
  <c r="F121" i="126"/>
  <c r="E121" i="126"/>
  <c r="Q13" i="126" s="1"/>
  <c r="T13" i="126" s="1"/>
  <c r="P120" i="126"/>
  <c r="O120" i="126"/>
  <c r="N120" i="126"/>
  <c r="M120" i="126"/>
  <c r="L120" i="126"/>
  <c r="K120" i="126"/>
  <c r="J120" i="126"/>
  <c r="I120" i="126"/>
  <c r="H120" i="126"/>
  <c r="G120" i="126"/>
  <c r="F120" i="126"/>
  <c r="E120" i="126"/>
  <c r="P117" i="126"/>
  <c r="O117" i="126"/>
  <c r="N117" i="126"/>
  <c r="M117" i="126"/>
  <c r="L117" i="126"/>
  <c r="K117" i="126"/>
  <c r="J117" i="126"/>
  <c r="I117" i="126"/>
  <c r="H117" i="126"/>
  <c r="G117" i="126"/>
  <c r="F117" i="126"/>
  <c r="E117" i="126"/>
  <c r="Q116" i="126"/>
  <c r="T116" i="126" s="1"/>
  <c r="T115" i="126"/>
  <c r="Q115" i="126"/>
  <c r="T114" i="126"/>
  <c r="Q114" i="126"/>
  <c r="Q123" i="126" s="1"/>
  <c r="T123" i="126" s="1"/>
  <c r="Q113" i="126"/>
  <c r="Q112" i="126"/>
  <c r="T111" i="126"/>
  <c r="Q106" i="126"/>
  <c r="T106" i="126" s="1"/>
  <c r="Q105" i="126"/>
  <c r="Q104" i="126"/>
  <c r="T104" i="126" s="1"/>
  <c r="Q103" i="126"/>
  <c r="T103" i="126" s="1"/>
  <c r="Q102" i="126"/>
  <c r="T102" i="126" s="1"/>
  <c r="Q101" i="126"/>
  <c r="Q100" i="126"/>
  <c r="T100" i="126" s="1"/>
  <c r="Q99" i="126"/>
  <c r="T99" i="126" s="1"/>
  <c r="Q98" i="126"/>
  <c r="T98" i="126" s="1"/>
  <c r="Q97" i="126"/>
  <c r="Q96" i="126"/>
  <c r="T96" i="126" s="1"/>
  <c r="Q94" i="126"/>
  <c r="T94" i="126" s="1"/>
  <c r="Q93" i="126"/>
  <c r="Q92" i="126"/>
  <c r="T92" i="126" s="1"/>
  <c r="Q91" i="126"/>
  <c r="T91" i="126" s="1"/>
  <c r="Q90" i="126"/>
  <c r="T90" i="126" s="1"/>
  <c r="Q89" i="126"/>
  <c r="Q88" i="126"/>
  <c r="T88" i="126" s="1"/>
  <c r="Q87" i="126"/>
  <c r="T87" i="126" s="1"/>
  <c r="Q86" i="126"/>
  <c r="T86" i="126" s="1"/>
  <c r="Q85" i="126"/>
  <c r="Q84" i="126"/>
  <c r="T84" i="126" s="1"/>
  <c r="Q83" i="126"/>
  <c r="T83" i="126" s="1"/>
  <c r="Q82" i="126"/>
  <c r="T82" i="126" s="1"/>
  <c r="Q81" i="126"/>
  <c r="Q80" i="126"/>
  <c r="T80" i="126" s="1"/>
  <c r="Q79" i="126"/>
  <c r="T79" i="126" s="1"/>
  <c r="Q78" i="126"/>
  <c r="T78" i="126" s="1"/>
  <c r="Q77" i="126"/>
  <c r="Q76" i="126"/>
  <c r="Q75" i="126"/>
  <c r="T75" i="126" s="1"/>
  <c r="Q74" i="126"/>
  <c r="T74" i="126" s="1"/>
  <c r="Q73" i="126"/>
  <c r="Q72" i="126"/>
  <c r="T72" i="126" s="1"/>
  <c r="Q71" i="126"/>
  <c r="T71" i="126" s="1"/>
  <c r="Q70" i="126"/>
  <c r="T70" i="126" s="1"/>
  <c r="Q69" i="126"/>
  <c r="Q68" i="126"/>
  <c r="T68" i="126" s="1"/>
  <c r="Q67" i="126"/>
  <c r="T67" i="126" s="1"/>
  <c r="Q66" i="126"/>
  <c r="T66" i="126" s="1"/>
  <c r="Q65" i="126"/>
  <c r="Q63" i="126"/>
  <c r="T63" i="126" s="1"/>
  <c r="Q62" i="126"/>
  <c r="T62" i="126" s="1"/>
  <c r="Q61" i="126"/>
  <c r="Q60" i="126"/>
  <c r="T60" i="126" s="1"/>
  <c r="Q59" i="126"/>
  <c r="T59" i="126" s="1"/>
  <c r="Q58" i="126"/>
  <c r="T58" i="126" s="1"/>
  <c r="Q57" i="126"/>
  <c r="Q56" i="126"/>
  <c r="T56" i="126" s="1"/>
  <c r="Q55" i="126"/>
  <c r="T55" i="126" s="1"/>
  <c r="Q54" i="126"/>
  <c r="T54" i="126" s="1"/>
  <c r="Q53" i="126"/>
  <c r="Q52" i="126"/>
  <c r="T52" i="126" s="1"/>
  <c r="Q51" i="126"/>
  <c r="T51" i="126" s="1"/>
  <c r="Q50" i="126"/>
  <c r="T50" i="126" s="1"/>
  <c r="Q49" i="126"/>
  <c r="Q48" i="126"/>
  <c r="T48" i="126" s="1"/>
  <c r="Q47" i="126"/>
  <c r="T47" i="126" s="1"/>
  <c r="Q45" i="126"/>
  <c r="Q44" i="126"/>
  <c r="T44" i="126" s="1"/>
  <c r="Q43" i="126"/>
  <c r="T43" i="126" s="1"/>
  <c r="Q42" i="126"/>
  <c r="T42" i="126" s="1"/>
  <c r="Q41" i="126"/>
  <c r="Q40" i="126"/>
  <c r="T40" i="126" s="1"/>
  <c r="Q39" i="126"/>
  <c r="T39" i="126" s="1"/>
  <c r="Q33" i="126"/>
  <c r="T33" i="126" s="1"/>
  <c r="T26" i="126"/>
  <c r="Q26" i="126"/>
  <c r="P25" i="126"/>
  <c r="P32" i="126" s="1"/>
  <c r="O25" i="126"/>
  <c r="O32" i="126" s="1"/>
  <c r="N25" i="126"/>
  <c r="N32" i="126" s="1"/>
  <c r="M25" i="126"/>
  <c r="M32" i="126" s="1"/>
  <c r="L25" i="126"/>
  <c r="L32" i="126" s="1"/>
  <c r="K25" i="126"/>
  <c r="K32" i="126" s="1"/>
  <c r="J25" i="126"/>
  <c r="J32" i="126" s="1"/>
  <c r="I25" i="126"/>
  <c r="I32" i="126" s="1"/>
  <c r="H25" i="126"/>
  <c r="H32" i="126" s="1"/>
  <c r="G25" i="126"/>
  <c r="G32" i="126" s="1"/>
  <c r="F25" i="126"/>
  <c r="F32" i="126" s="1"/>
  <c r="E25" i="126"/>
  <c r="E32" i="126" s="1"/>
  <c r="Q24" i="126"/>
  <c r="T24" i="126" s="1"/>
  <c r="Q23" i="126"/>
  <c r="T23" i="126" s="1"/>
  <c r="Q22" i="126"/>
  <c r="T22" i="126" s="1"/>
  <c r="Q21" i="126"/>
  <c r="T21" i="126" s="1"/>
  <c r="T20" i="126"/>
  <c r="Q20" i="126"/>
  <c r="M17" i="126"/>
  <c r="M31" i="126" s="1"/>
  <c r="L17" i="126"/>
  <c r="L31" i="126" s="1"/>
  <c r="K17" i="126"/>
  <c r="K31" i="126" s="1"/>
  <c r="J17" i="126"/>
  <c r="J31" i="126" s="1"/>
  <c r="I17" i="126"/>
  <c r="I31" i="126" s="1"/>
  <c r="H17" i="126"/>
  <c r="H31" i="126" s="1"/>
  <c r="G17" i="126"/>
  <c r="G31" i="126" s="1"/>
  <c r="F17" i="126"/>
  <c r="F31" i="126" s="1"/>
  <c r="E17" i="126"/>
  <c r="E31" i="126" s="1"/>
  <c r="Q16" i="126"/>
  <c r="T16" i="126" s="1"/>
  <c r="Q15" i="126"/>
  <c r="T15" i="126" s="1"/>
  <c r="Q12" i="126"/>
  <c r="T12" i="126" s="1"/>
  <c r="D5" i="126"/>
  <c r="D4" i="126"/>
  <c r="Q131" i="148"/>
  <c r="U125" i="148"/>
  <c r="P122" i="148"/>
  <c r="O122" i="148"/>
  <c r="N122" i="148"/>
  <c r="M122" i="148"/>
  <c r="L122" i="148"/>
  <c r="K122" i="148"/>
  <c r="J122" i="148"/>
  <c r="I122" i="148"/>
  <c r="H122" i="148"/>
  <c r="G122" i="148"/>
  <c r="F122" i="148"/>
  <c r="Q120" i="148"/>
  <c r="U120" i="148" s="1"/>
  <c r="Q119" i="148"/>
  <c r="U119" i="148" s="1"/>
  <c r="Q118" i="148"/>
  <c r="Q117" i="148"/>
  <c r="U117" i="148" s="1"/>
  <c r="Q116" i="148"/>
  <c r="U116" i="148" s="1"/>
  <c r="Q115" i="148"/>
  <c r="U115" i="148" s="1"/>
  <c r="Q114" i="148"/>
  <c r="Q101" i="148"/>
  <c r="U101" i="148" s="1"/>
  <c r="Q100" i="148"/>
  <c r="Q99" i="148"/>
  <c r="U99" i="148" s="1"/>
  <c r="Q91" i="148"/>
  <c r="U91" i="148" s="1"/>
  <c r="Q90" i="148"/>
  <c r="U90" i="148" s="1"/>
  <c r="Q82" i="148"/>
  <c r="U82" i="148" s="1"/>
  <c r="Q81" i="148"/>
  <c r="U81" i="148" s="1"/>
  <c r="Q80" i="148"/>
  <c r="U80" i="148" s="1"/>
  <c r="Q79" i="148"/>
  <c r="Q78" i="148"/>
  <c r="U78" i="148" s="1"/>
  <c r="Q77" i="148"/>
  <c r="U77" i="148" s="1"/>
  <c r="Q76" i="148"/>
  <c r="U76" i="148" s="1"/>
  <c r="Q75" i="148"/>
  <c r="Q74" i="148"/>
  <c r="U74" i="148" s="1"/>
  <c r="Q73" i="148"/>
  <c r="U73" i="148" s="1"/>
  <c r="Q72" i="148"/>
  <c r="U72" i="148" s="1"/>
  <c r="Q70" i="148"/>
  <c r="U70" i="148" s="1"/>
  <c r="Q69" i="148"/>
  <c r="U69" i="148" s="1"/>
  <c r="Q68" i="148"/>
  <c r="U68" i="148" s="1"/>
  <c r="Q67" i="148"/>
  <c r="Q66" i="148"/>
  <c r="U66" i="148" s="1"/>
  <c r="Q65" i="148"/>
  <c r="U65" i="148" s="1"/>
  <c r="Q64" i="148"/>
  <c r="U64" i="148" s="1"/>
  <c r="Q63" i="148"/>
  <c r="Q62" i="148"/>
  <c r="U62" i="148" s="1"/>
  <c r="Q61" i="148"/>
  <c r="U61" i="148" s="1"/>
  <c r="Q60" i="148"/>
  <c r="Q59" i="148"/>
  <c r="U59" i="148" s="1"/>
  <c r="Q58" i="148"/>
  <c r="U58" i="148" s="1"/>
  <c r="Q57" i="148"/>
  <c r="U57" i="148" s="1"/>
  <c r="Q56" i="148"/>
  <c r="Q55" i="148"/>
  <c r="U55" i="148" s="1"/>
  <c r="Q54" i="148"/>
  <c r="U54" i="148" s="1"/>
  <c r="Q53" i="148"/>
  <c r="U53" i="148" s="1"/>
  <c r="Q52" i="148"/>
  <c r="Q51" i="148"/>
  <c r="U51" i="148" s="1"/>
  <c r="Q50" i="148"/>
  <c r="U50" i="148" s="1"/>
  <c r="Q49" i="148"/>
  <c r="U49" i="148" s="1"/>
  <c r="Q48" i="148"/>
  <c r="Q47" i="148"/>
  <c r="U47" i="148" s="1"/>
  <c r="Q46" i="148"/>
  <c r="U46" i="148" s="1"/>
  <c r="Q45" i="148"/>
  <c r="U45" i="148" s="1"/>
  <c r="Q44" i="148"/>
  <c r="K90" i="108"/>
  <c r="Q42" i="148"/>
  <c r="U42" i="148" s="1"/>
  <c r="Q41" i="148"/>
  <c r="U41" i="148" s="1"/>
  <c r="Q40" i="148"/>
  <c r="Q39" i="148"/>
  <c r="U39" i="148" s="1"/>
  <c r="Q38" i="148"/>
  <c r="U38" i="148" s="1"/>
  <c r="Q37" i="148"/>
  <c r="U37" i="148" s="1"/>
  <c r="Q36" i="148"/>
  <c r="Q35" i="148"/>
  <c r="U35" i="148" s="1"/>
  <c r="Q34" i="148"/>
  <c r="U34" i="148" s="1"/>
  <c r="Q33" i="148"/>
  <c r="U33" i="148" s="1"/>
  <c r="Q32" i="148"/>
  <c r="U32" i="148" s="1"/>
  <c r="Q31" i="148"/>
  <c r="U31" i="148" s="1"/>
  <c r="Q30" i="148"/>
  <c r="U30" i="148" s="1"/>
  <c r="Q29" i="148"/>
  <c r="U29" i="148" s="1"/>
  <c r="Q28" i="148"/>
  <c r="U28" i="148" s="1"/>
  <c r="Q27" i="148"/>
  <c r="U27" i="148" s="1"/>
  <c r="Q26" i="148"/>
  <c r="U26" i="148" s="1"/>
  <c r="Q25" i="148"/>
  <c r="U25" i="148" s="1"/>
  <c r="Q24" i="148"/>
  <c r="U24" i="148" s="1"/>
  <c r="Q23" i="148"/>
  <c r="Q22" i="148"/>
  <c r="U22" i="148" s="1"/>
  <c r="Q21" i="148"/>
  <c r="U21" i="148" s="1"/>
  <c r="Q20" i="148"/>
  <c r="U20" i="148" s="1"/>
  <c r="Q19" i="148"/>
  <c r="U19" i="148" s="1"/>
  <c r="Q18" i="148"/>
  <c r="U18" i="148" s="1"/>
  <c r="Q17" i="148"/>
  <c r="U17" i="148" s="1"/>
  <c r="Q16" i="148"/>
  <c r="U16" i="148" s="1"/>
  <c r="Q15" i="148"/>
  <c r="U15" i="148" s="1"/>
  <c r="U14" i="148"/>
  <c r="U13" i="148"/>
  <c r="D5" i="148"/>
  <c r="D4" i="148"/>
  <c r="Q165" i="122"/>
  <c r="Q161" i="122"/>
  <c r="Q160" i="122"/>
  <c r="Y200" i="108" s="1"/>
  <c r="Q159" i="122"/>
  <c r="W200" i="108" s="1"/>
  <c r="Q158" i="122"/>
  <c r="Q157" i="122"/>
  <c r="Q156" i="122"/>
  <c r="Q155" i="122"/>
  <c r="Q150" i="122"/>
  <c r="Q149" i="122"/>
  <c r="Q148" i="122"/>
  <c r="Q147" i="122"/>
  <c r="Q146" i="122"/>
  <c r="Q145" i="122"/>
  <c r="Q142" i="122"/>
  <c r="Q139" i="122"/>
  <c r="Q138" i="122"/>
  <c r="Q137" i="122"/>
  <c r="Q136" i="122"/>
  <c r="P124" i="122"/>
  <c r="O124" i="122"/>
  <c r="N124" i="122"/>
  <c r="M124" i="122"/>
  <c r="L124" i="122"/>
  <c r="K124" i="122"/>
  <c r="J124" i="122"/>
  <c r="I124" i="122"/>
  <c r="H124" i="122"/>
  <c r="G124" i="122"/>
  <c r="F124" i="122"/>
  <c r="P123" i="122"/>
  <c r="O123" i="122"/>
  <c r="N123" i="122"/>
  <c r="M123" i="122"/>
  <c r="L123" i="122"/>
  <c r="K123" i="122"/>
  <c r="J123" i="122"/>
  <c r="I123" i="122"/>
  <c r="H123" i="122"/>
  <c r="G123" i="122"/>
  <c r="F123" i="122"/>
  <c r="P122" i="122"/>
  <c r="O122" i="122"/>
  <c r="N122" i="122"/>
  <c r="M122" i="122"/>
  <c r="L122" i="122"/>
  <c r="K122" i="122"/>
  <c r="J122" i="122"/>
  <c r="I122" i="122"/>
  <c r="H122" i="122"/>
  <c r="G122" i="122"/>
  <c r="F122" i="122"/>
  <c r="P121" i="122"/>
  <c r="O121" i="122"/>
  <c r="N121" i="122"/>
  <c r="M121" i="122"/>
  <c r="L121" i="122"/>
  <c r="K121" i="122"/>
  <c r="J121" i="122"/>
  <c r="I121" i="122"/>
  <c r="H121" i="122"/>
  <c r="G121" i="122"/>
  <c r="P120" i="122"/>
  <c r="O120" i="122"/>
  <c r="N120" i="122"/>
  <c r="M120" i="122"/>
  <c r="L120" i="122"/>
  <c r="K120" i="122"/>
  <c r="J120" i="122"/>
  <c r="I120" i="122"/>
  <c r="H120" i="122"/>
  <c r="G120" i="122"/>
  <c r="F120" i="122"/>
  <c r="P117" i="122"/>
  <c r="O117" i="122"/>
  <c r="N117" i="122"/>
  <c r="M117" i="122"/>
  <c r="L117" i="122"/>
  <c r="K117" i="122"/>
  <c r="J117" i="122"/>
  <c r="I117" i="122"/>
  <c r="H117" i="122"/>
  <c r="G117" i="122"/>
  <c r="F117" i="122"/>
  <c r="E135" i="108"/>
  <c r="Q116" i="122"/>
  <c r="Q115" i="122"/>
  <c r="Q114" i="122"/>
  <c r="Q113" i="122"/>
  <c r="Q112" i="122"/>
  <c r="Q33" i="122"/>
  <c r="Q26" i="122"/>
  <c r="P25" i="122"/>
  <c r="P32" i="122" s="1"/>
  <c r="O25" i="122"/>
  <c r="O32" i="122" s="1"/>
  <c r="N25" i="122"/>
  <c r="N32" i="122" s="1"/>
  <c r="M25" i="122"/>
  <c r="M32" i="122" s="1"/>
  <c r="L25" i="122"/>
  <c r="L32" i="122" s="1"/>
  <c r="K25" i="122"/>
  <c r="K32" i="122" s="1"/>
  <c r="J25" i="122"/>
  <c r="J32" i="122" s="1"/>
  <c r="I25" i="122"/>
  <c r="I32" i="122" s="1"/>
  <c r="H25" i="122"/>
  <c r="H32" i="122" s="1"/>
  <c r="G25" i="122"/>
  <c r="G32" i="122" s="1"/>
  <c r="Q24" i="122"/>
  <c r="Q23" i="122"/>
  <c r="Q22" i="122"/>
  <c r="Q21" i="122"/>
  <c r="Q20" i="122"/>
  <c r="P17" i="122"/>
  <c r="P31" i="122" s="1"/>
  <c r="O17" i="122"/>
  <c r="O31" i="122" s="1"/>
  <c r="N17" i="122"/>
  <c r="N31" i="122" s="1"/>
  <c r="M17" i="122"/>
  <c r="M31" i="122" s="1"/>
  <c r="L17" i="122"/>
  <c r="L31" i="122" s="1"/>
  <c r="K17" i="122"/>
  <c r="K31" i="122" s="1"/>
  <c r="J17" i="122"/>
  <c r="J31" i="122" s="1"/>
  <c r="I17" i="122"/>
  <c r="I31" i="122" s="1"/>
  <c r="H17" i="122"/>
  <c r="H31" i="122" s="1"/>
  <c r="G17" i="122"/>
  <c r="G31" i="122" s="1"/>
  <c r="Q16" i="122"/>
  <c r="Q15" i="122"/>
  <c r="Q14" i="122"/>
  <c r="Q12" i="122"/>
  <c r="Q158" i="125"/>
  <c r="T158" i="125" s="1"/>
  <c r="Q157" i="125"/>
  <c r="T157" i="125" s="1"/>
  <c r="Q156" i="125"/>
  <c r="T156" i="125" s="1"/>
  <c r="Q155" i="125"/>
  <c r="Q152" i="125"/>
  <c r="Q151" i="125"/>
  <c r="T151" i="125" s="1"/>
  <c r="Q58" i="125"/>
  <c r="P124" i="125"/>
  <c r="O124" i="125"/>
  <c r="N124" i="125"/>
  <c r="M124" i="125"/>
  <c r="L124" i="125"/>
  <c r="K124" i="125"/>
  <c r="J124" i="125"/>
  <c r="I124" i="125"/>
  <c r="H124" i="125"/>
  <c r="G124" i="125"/>
  <c r="F124" i="125"/>
  <c r="E124" i="125"/>
  <c r="T123" i="125"/>
  <c r="P123" i="125"/>
  <c r="O123" i="125"/>
  <c r="N123" i="125"/>
  <c r="M123" i="125"/>
  <c r="L123" i="125"/>
  <c r="K123" i="125"/>
  <c r="J123" i="125"/>
  <c r="I123" i="125"/>
  <c r="I17" i="125" s="1"/>
  <c r="I31" i="125" s="1"/>
  <c r="H123" i="125"/>
  <c r="G123" i="125"/>
  <c r="F123" i="125"/>
  <c r="E123" i="125"/>
  <c r="T122" i="125"/>
  <c r="P122" i="125"/>
  <c r="O122" i="125"/>
  <c r="N122" i="125"/>
  <c r="M122" i="125"/>
  <c r="L122" i="125"/>
  <c r="K122" i="125"/>
  <c r="J122" i="125"/>
  <c r="I122" i="125"/>
  <c r="H122" i="125"/>
  <c r="G122" i="125"/>
  <c r="F122" i="125"/>
  <c r="E122" i="125"/>
  <c r="P121" i="125"/>
  <c r="P17" i="125" s="1"/>
  <c r="P31" i="125" s="1"/>
  <c r="O121" i="125"/>
  <c r="O17" i="125" s="1"/>
  <c r="O31" i="125" s="1"/>
  <c r="N121" i="125"/>
  <c r="N17" i="125" s="1"/>
  <c r="N31" i="125" s="1"/>
  <c r="M121" i="125"/>
  <c r="M17" i="125" s="1"/>
  <c r="M31" i="125" s="1"/>
  <c r="L121" i="125"/>
  <c r="L17" i="125" s="1"/>
  <c r="L31" i="125" s="1"/>
  <c r="K121" i="125"/>
  <c r="K17" i="125" s="1"/>
  <c r="K31" i="125" s="1"/>
  <c r="J121" i="125"/>
  <c r="J17" i="125" s="1"/>
  <c r="J31" i="125" s="1"/>
  <c r="I121" i="125"/>
  <c r="H121" i="125"/>
  <c r="G121" i="125"/>
  <c r="F121" i="125"/>
  <c r="F17" i="125" s="1"/>
  <c r="F31" i="125" s="1"/>
  <c r="E121" i="125"/>
  <c r="E17" i="125" s="1"/>
  <c r="E31" i="125" s="1"/>
  <c r="P120" i="125"/>
  <c r="O120" i="125"/>
  <c r="N120" i="125"/>
  <c r="M120" i="125"/>
  <c r="L120" i="125"/>
  <c r="K120" i="125"/>
  <c r="J120" i="125"/>
  <c r="I120" i="125"/>
  <c r="H120" i="125"/>
  <c r="G120" i="125"/>
  <c r="F120" i="125"/>
  <c r="E120" i="125"/>
  <c r="P117" i="125"/>
  <c r="O117" i="125"/>
  <c r="N117" i="125"/>
  <c r="M117" i="125"/>
  <c r="L117" i="125"/>
  <c r="K117" i="125"/>
  <c r="J117" i="125"/>
  <c r="I117" i="125"/>
  <c r="H117" i="125"/>
  <c r="G117" i="125"/>
  <c r="F117" i="125"/>
  <c r="E117" i="125"/>
  <c r="Q116" i="125"/>
  <c r="Q124" i="125" s="1"/>
  <c r="T124" i="125" s="1"/>
  <c r="T115" i="125"/>
  <c r="Q115" i="125"/>
  <c r="T114" i="125"/>
  <c r="Q114" i="125"/>
  <c r="Q122" i="125" s="1"/>
  <c r="Q113" i="125"/>
  <c r="Q112" i="125"/>
  <c r="Q120" i="125" s="1"/>
  <c r="T120" i="125" s="1"/>
  <c r="Q105" i="125"/>
  <c r="Q104" i="125"/>
  <c r="Q103" i="125"/>
  <c r="Q102" i="125"/>
  <c r="Q101" i="125"/>
  <c r="Q100" i="125"/>
  <c r="Q99" i="125"/>
  <c r="Q98" i="125"/>
  <c r="Q97" i="125"/>
  <c r="T96" i="125"/>
  <c r="Q94" i="125"/>
  <c r="Q93" i="125"/>
  <c r="T93" i="125" s="1"/>
  <c r="Q92" i="125"/>
  <c r="T92" i="125" s="1"/>
  <c r="Q91" i="125"/>
  <c r="T91" i="125" s="1"/>
  <c r="Q90" i="125"/>
  <c r="Q89" i="125"/>
  <c r="T89" i="125" s="1"/>
  <c r="Q88" i="125"/>
  <c r="T88" i="125" s="1"/>
  <c r="Q87" i="125"/>
  <c r="T87" i="125" s="1"/>
  <c r="Q86" i="125"/>
  <c r="Q85" i="125"/>
  <c r="T85" i="125" s="1"/>
  <c r="Q84" i="125"/>
  <c r="T84" i="125" s="1"/>
  <c r="Q83" i="125"/>
  <c r="T83" i="125" s="1"/>
  <c r="Q82" i="125"/>
  <c r="Q80" i="125"/>
  <c r="T80" i="125" s="1"/>
  <c r="Q79" i="125"/>
  <c r="T79" i="125" s="1"/>
  <c r="Q78" i="125"/>
  <c r="Q76" i="125"/>
  <c r="T76" i="125" s="1"/>
  <c r="Q70" i="125"/>
  <c r="Q69" i="125"/>
  <c r="Q68" i="125"/>
  <c r="Q67" i="125"/>
  <c r="Q66" i="125"/>
  <c r="Q65" i="125"/>
  <c r="Q63" i="125"/>
  <c r="Q62" i="125"/>
  <c r="Q61" i="125"/>
  <c r="Q60" i="125"/>
  <c r="Q55" i="125"/>
  <c r="Q53" i="125"/>
  <c r="T53" i="125" s="1"/>
  <c r="Q52" i="125"/>
  <c r="T52" i="125" s="1"/>
  <c r="Q51" i="125"/>
  <c r="Q49" i="125"/>
  <c r="T49" i="125" s="1"/>
  <c r="Q41" i="125"/>
  <c r="T41" i="125" s="1"/>
  <c r="Q40" i="125"/>
  <c r="Q39" i="125"/>
  <c r="T39" i="125" s="1"/>
  <c r="Q33" i="125"/>
  <c r="T26" i="125"/>
  <c r="Q26" i="125"/>
  <c r="P25" i="125"/>
  <c r="O25" i="125"/>
  <c r="O32" i="125" s="1"/>
  <c r="N25" i="125"/>
  <c r="N32" i="125" s="1"/>
  <c r="M25" i="125"/>
  <c r="M32" i="125" s="1"/>
  <c r="L25" i="125"/>
  <c r="K25" i="125"/>
  <c r="K32" i="125" s="1"/>
  <c r="J25" i="125"/>
  <c r="J32" i="125" s="1"/>
  <c r="I25" i="125"/>
  <c r="I32" i="125" s="1"/>
  <c r="H25" i="125"/>
  <c r="H32" i="125" s="1"/>
  <c r="G25" i="125"/>
  <c r="G32" i="125" s="1"/>
  <c r="F25" i="125"/>
  <c r="F32" i="125" s="1"/>
  <c r="E25" i="125"/>
  <c r="E32" i="125" s="1"/>
  <c r="Q24" i="125"/>
  <c r="T24" i="125" s="1"/>
  <c r="Q23" i="125"/>
  <c r="T23" i="125" s="1"/>
  <c r="Q22" i="125"/>
  <c r="T22" i="125" s="1"/>
  <c r="Q21" i="125"/>
  <c r="T21" i="125" s="1"/>
  <c r="Q20" i="125"/>
  <c r="H17" i="125"/>
  <c r="H31" i="125" s="1"/>
  <c r="G17" i="125"/>
  <c r="G31" i="125" s="1"/>
  <c r="Q16" i="125"/>
  <c r="T16" i="125" s="1"/>
  <c r="Q14" i="125"/>
  <c r="T14" i="125" s="1"/>
  <c r="Q12" i="125"/>
  <c r="D5" i="125"/>
  <c r="D4" i="125"/>
  <c r="P165" i="124"/>
  <c r="O165" i="124"/>
  <c r="N165" i="124"/>
  <c r="M165" i="124"/>
  <c r="L165" i="124"/>
  <c r="K165" i="124"/>
  <c r="J165" i="124"/>
  <c r="I165" i="124"/>
  <c r="H165" i="124"/>
  <c r="G165" i="124"/>
  <c r="F165" i="124"/>
  <c r="E165" i="124"/>
  <c r="P161" i="124"/>
  <c r="O161" i="124"/>
  <c r="N161" i="124"/>
  <c r="M161" i="124"/>
  <c r="L161" i="124"/>
  <c r="K161" i="124"/>
  <c r="J161" i="124"/>
  <c r="I161" i="124"/>
  <c r="H161" i="124"/>
  <c r="G161" i="124"/>
  <c r="F161" i="124"/>
  <c r="E161" i="124"/>
  <c r="P160" i="124"/>
  <c r="O160" i="124"/>
  <c r="N160" i="124"/>
  <c r="M160" i="124"/>
  <c r="L160" i="124"/>
  <c r="K160" i="124"/>
  <c r="J160" i="124"/>
  <c r="I160" i="124"/>
  <c r="H160" i="124"/>
  <c r="G160" i="124"/>
  <c r="F160" i="124"/>
  <c r="E160" i="124"/>
  <c r="P159" i="124"/>
  <c r="O159" i="124"/>
  <c r="N159" i="124"/>
  <c r="M159" i="124"/>
  <c r="L159" i="124"/>
  <c r="K159" i="124"/>
  <c r="J159" i="124"/>
  <c r="I159" i="124"/>
  <c r="H159" i="124"/>
  <c r="G159" i="124"/>
  <c r="F159" i="124"/>
  <c r="E159" i="124"/>
  <c r="Q158" i="124"/>
  <c r="T158" i="124" s="1"/>
  <c r="Q157" i="124"/>
  <c r="T157" i="124" s="1"/>
  <c r="Q156" i="124"/>
  <c r="T156" i="124" s="1"/>
  <c r="Q155" i="124"/>
  <c r="Q152" i="124"/>
  <c r="T152" i="124" s="1"/>
  <c r="Q151" i="124"/>
  <c r="T151" i="124" s="1"/>
  <c r="P150" i="124"/>
  <c r="O150" i="124"/>
  <c r="N150" i="124"/>
  <c r="M150" i="124"/>
  <c r="L150" i="124"/>
  <c r="K150" i="124"/>
  <c r="J150" i="124"/>
  <c r="I150" i="124"/>
  <c r="H150" i="124"/>
  <c r="G150" i="124"/>
  <c r="F150" i="124"/>
  <c r="E150" i="124"/>
  <c r="P149" i="124"/>
  <c r="O149" i="124"/>
  <c r="N149" i="124"/>
  <c r="M149" i="124"/>
  <c r="L149" i="124"/>
  <c r="K149" i="124"/>
  <c r="J149" i="124"/>
  <c r="I149" i="124"/>
  <c r="H149" i="124"/>
  <c r="G149" i="124"/>
  <c r="F149" i="124"/>
  <c r="E149" i="124"/>
  <c r="P148" i="124"/>
  <c r="O148" i="124"/>
  <c r="N148" i="124"/>
  <c r="M148" i="124"/>
  <c r="L148" i="124"/>
  <c r="K148" i="124"/>
  <c r="J148" i="124"/>
  <c r="I148" i="124"/>
  <c r="H148" i="124"/>
  <c r="G148" i="124"/>
  <c r="F148" i="124"/>
  <c r="E148" i="124"/>
  <c r="P147" i="124"/>
  <c r="O147" i="124"/>
  <c r="N147" i="124"/>
  <c r="M147" i="124"/>
  <c r="L147" i="124"/>
  <c r="K147" i="124"/>
  <c r="J147" i="124"/>
  <c r="I147" i="124"/>
  <c r="H147" i="124"/>
  <c r="G147" i="124"/>
  <c r="F147" i="124"/>
  <c r="E147" i="124"/>
  <c r="P146" i="124"/>
  <c r="O146" i="124"/>
  <c r="N146" i="124"/>
  <c r="M146" i="124"/>
  <c r="L146" i="124"/>
  <c r="K146" i="124"/>
  <c r="J146" i="124"/>
  <c r="I146" i="124"/>
  <c r="H146" i="124"/>
  <c r="G146" i="124"/>
  <c r="F146" i="124"/>
  <c r="E146" i="124"/>
  <c r="P145" i="124"/>
  <c r="O145" i="124"/>
  <c r="N145" i="124"/>
  <c r="M145" i="124"/>
  <c r="L145" i="124"/>
  <c r="K145" i="124"/>
  <c r="J145" i="124"/>
  <c r="I145" i="124"/>
  <c r="H145" i="124"/>
  <c r="G145" i="124"/>
  <c r="F145" i="124"/>
  <c r="E145" i="124"/>
  <c r="P140" i="124"/>
  <c r="O140" i="124"/>
  <c r="N140" i="124"/>
  <c r="M140" i="124"/>
  <c r="L140" i="124"/>
  <c r="K140" i="124"/>
  <c r="J140" i="124"/>
  <c r="I140" i="124"/>
  <c r="H140" i="124"/>
  <c r="G140" i="124"/>
  <c r="F140" i="124"/>
  <c r="E140" i="124"/>
  <c r="P139" i="124"/>
  <c r="O139" i="124"/>
  <c r="N139" i="124"/>
  <c r="M139" i="124"/>
  <c r="L139" i="124"/>
  <c r="K139" i="124"/>
  <c r="J139" i="124"/>
  <c r="I139" i="124"/>
  <c r="H139" i="124"/>
  <c r="G139" i="124"/>
  <c r="F139" i="124"/>
  <c r="E139" i="124"/>
  <c r="P138" i="124"/>
  <c r="O138" i="124"/>
  <c r="N138" i="124"/>
  <c r="M138" i="124"/>
  <c r="L138" i="124"/>
  <c r="K138" i="124"/>
  <c r="J138" i="124"/>
  <c r="I138" i="124"/>
  <c r="H138" i="124"/>
  <c r="G138" i="124"/>
  <c r="F138" i="124"/>
  <c r="E138" i="124"/>
  <c r="P137" i="124"/>
  <c r="O137" i="124"/>
  <c r="N137" i="124"/>
  <c r="M137" i="124"/>
  <c r="L137" i="124"/>
  <c r="K137" i="124"/>
  <c r="J137" i="124"/>
  <c r="I137" i="124"/>
  <c r="H137" i="124"/>
  <c r="G137" i="124"/>
  <c r="F137" i="124"/>
  <c r="E137" i="124"/>
  <c r="P136" i="124"/>
  <c r="O136" i="124"/>
  <c r="N136" i="124"/>
  <c r="M136" i="124"/>
  <c r="L136" i="124"/>
  <c r="K136" i="124"/>
  <c r="J136" i="124"/>
  <c r="I136" i="124"/>
  <c r="H136" i="124"/>
  <c r="G136" i="124"/>
  <c r="F136" i="124"/>
  <c r="E136" i="124"/>
  <c r="P133" i="124"/>
  <c r="O133" i="124"/>
  <c r="N133" i="124"/>
  <c r="M133" i="124"/>
  <c r="L133" i="124"/>
  <c r="K133" i="124"/>
  <c r="J133" i="124"/>
  <c r="I133" i="124"/>
  <c r="H133" i="124"/>
  <c r="G133" i="124"/>
  <c r="F133" i="124"/>
  <c r="E133" i="124"/>
  <c r="P132" i="124"/>
  <c r="O132" i="124"/>
  <c r="N132" i="124"/>
  <c r="M132" i="124"/>
  <c r="L132" i="124"/>
  <c r="K132" i="124"/>
  <c r="J132" i="124"/>
  <c r="I132" i="124"/>
  <c r="H132" i="124"/>
  <c r="G132" i="124"/>
  <c r="F132" i="124"/>
  <c r="E132" i="124"/>
  <c r="P131" i="124"/>
  <c r="O131" i="124"/>
  <c r="N131" i="124"/>
  <c r="M131" i="124"/>
  <c r="L131" i="124"/>
  <c r="K131" i="124"/>
  <c r="J131" i="124"/>
  <c r="I131" i="124"/>
  <c r="H131" i="124"/>
  <c r="G131" i="124"/>
  <c r="F131" i="124"/>
  <c r="E131" i="124"/>
  <c r="P124" i="124"/>
  <c r="O124" i="124"/>
  <c r="N124" i="124"/>
  <c r="M124" i="124"/>
  <c r="L124" i="124"/>
  <c r="K124" i="124"/>
  <c r="J124" i="124"/>
  <c r="I124" i="124"/>
  <c r="H124" i="124"/>
  <c r="G124" i="124"/>
  <c r="F124" i="124"/>
  <c r="E124" i="124"/>
  <c r="P123" i="124"/>
  <c r="O123" i="124"/>
  <c r="N123" i="124"/>
  <c r="M123" i="124"/>
  <c r="L123" i="124"/>
  <c r="K123" i="124"/>
  <c r="J123" i="124"/>
  <c r="I123" i="124"/>
  <c r="H123" i="124"/>
  <c r="G123" i="124"/>
  <c r="F123" i="124"/>
  <c r="E123" i="124"/>
  <c r="P122" i="124"/>
  <c r="O122" i="124"/>
  <c r="N122" i="124"/>
  <c r="M122" i="124"/>
  <c r="L122" i="124"/>
  <c r="K122" i="124"/>
  <c r="J122" i="124"/>
  <c r="I122" i="124"/>
  <c r="H122" i="124"/>
  <c r="G122" i="124"/>
  <c r="F122" i="124"/>
  <c r="E122" i="124"/>
  <c r="P121" i="124"/>
  <c r="O121" i="124"/>
  <c r="N121" i="124"/>
  <c r="M121" i="124"/>
  <c r="L121" i="124"/>
  <c r="K121" i="124"/>
  <c r="J121" i="124"/>
  <c r="I121" i="124"/>
  <c r="H121" i="124"/>
  <c r="G121" i="124"/>
  <c r="F121" i="124"/>
  <c r="E121" i="124"/>
  <c r="P120" i="124"/>
  <c r="O120" i="124"/>
  <c r="N120" i="124"/>
  <c r="M120" i="124"/>
  <c r="L120" i="124"/>
  <c r="K120" i="124"/>
  <c r="J120" i="124"/>
  <c r="I120" i="124"/>
  <c r="H120" i="124"/>
  <c r="G120" i="124"/>
  <c r="F120" i="124"/>
  <c r="E120" i="124"/>
  <c r="P117" i="124"/>
  <c r="O117" i="124"/>
  <c r="N117" i="124"/>
  <c r="N127" i="124" s="1"/>
  <c r="M117" i="124"/>
  <c r="M125" i="124" s="1"/>
  <c r="L117" i="124"/>
  <c r="L125" i="124" s="1"/>
  <c r="K117" i="124"/>
  <c r="K127" i="124" s="1"/>
  <c r="J117" i="124"/>
  <c r="J127" i="124" s="1"/>
  <c r="I117" i="124"/>
  <c r="H117" i="124"/>
  <c r="H125" i="124" s="1"/>
  <c r="G117" i="124"/>
  <c r="G127" i="124" s="1"/>
  <c r="F117" i="124"/>
  <c r="F127" i="124" s="1"/>
  <c r="E117" i="124"/>
  <c r="E125" i="124" s="1"/>
  <c r="Q116" i="124"/>
  <c r="Q124" i="124" s="1"/>
  <c r="T124" i="124" s="1"/>
  <c r="Q115" i="124"/>
  <c r="Q123" i="124" s="1"/>
  <c r="T123" i="124" s="1"/>
  <c r="Q114" i="124"/>
  <c r="Q122" i="124" s="1"/>
  <c r="T122" i="124" s="1"/>
  <c r="Q113" i="124"/>
  <c r="Q121" i="124" s="1"/>
  <c r="T121" i="124" s="1"/>
  <c r="Q112" i="124"/>
  <c r="Q106" i="124"/>
  <c r="Q105" i="124"/>
  <c r="Q104" i="124"/>
  <c r="Q103" i="124"/>
  <c r="Q102" i="124"/>
  <c r="Q101" i="124"/>
  <c r="Q100" i="124"/>
  <c r="Q99" i="124"/>
  <c r="Q98" i="124"/>
  <c r="Q97" i="124"/>
  <c r="Q96" i="124"/>
  <c r="T96" i="124" s="1"/>
  <c r="Q95" i="124"/>
  <c r="T95" i="124" s="1"/>
  <c r="Q94" i="124"/>
  <c r="Q93" i="124"/>
  <c r="T93" i="124" s="1"/>
  <c r="Q92" i="124"/>
  <c r="T92" i="124" s="1"/>
  <c r="Q91" i="124"/>
  <c r="T91" i="124" s="1"/>
  <c r="Q90" i="124"/>
  <c r="Q89" i="124"/>
  <c r="T89" i="124" s="1"/>
  <c r="Q88" i="124"/>
  <c r="T88" i="124" s="1"/>
  <c r="Q87" i="124"/>
  <c r="T87" i="124" s="1"/>
  <c r="Q86" i="124"/>
  <c r="Q85" i="124"/>
  <c r="Q84" i="124"/>
  <c r="T84" i="124" s="1"/>
  <c r="Q83" i="124"/>
  <c r="T83" i="124" s="1"/>
  <c r="Q82" i="124"/>
  <c r="Q81" i="124"/>
  <c r="Q80" i="124"/>
  <c r="T80" i="124" s="1"/>
  <c r="Q79" i="124"/>
  <c r="T79" i="124" s="1"/>
  <c r="Q78" i="124"/>
  <c r="Q77" i="124"/>
  <c r="T77" i="124" s="1"/>
  <c r="Q76" i="124"/>
  <c r="T76" i="124" s="1"/>
  <c r="Q75" i="124"/>
  <c r="T75" i="124" s="1"/>
  <c r="Q74" i="124"/>
  <c r="Q73" i="124"/>
  <c r="T73" i="124" s="1"/>
  <c r="Q72" i="124"/>
  <c r="T72" i="124" s="1"/>
  <c r="Q71" i="124"/>
  <c r="Q70" i="124"/>
  <c r="T70" i="124" s="1"/>
  <c r="Q69" i="124"/>
  <c r="T69" i="124" s="1"/>
  <c r="Q68" i="124"/>
  <c r="T68" i="124" s="1"/>
  <c r="Q67" i="124"/>
  <c r="Q66" i="124"/>
  <c r="T66" i="124" s="1"/>
  <c r="Q65" i="124"/>
  <c r="Q64" i="124"/>
  <c r="Q63" i="124"/>
  <c r="Q62" i="124"/>
  <c r="Q61" i="124"/>
  <c r="Q60" i="124"/>
  <c r="Q59" i="124"/>
  <c r="Q58" i="124"/>
  <c r="Q57" i="124"/>
  <c r="Q56" i="124"/>
  <c r="T56" i="124" s="1"/>
  <c r="Q55" i="124"/>
  <c r="T55" i="124" s="1"/>
  <c r="Q54" i="124"/>
  <c r="Q53" i="124"/>
  <c r="Q52" i="124"/>
  <c r="T52" i="124" s="1"/>
  <c r="Q51" i="124"/>
  <c r="T51" i="124" s="1"/>
  <c r="Q50" i="124"/>
  <c r="Q49" i="124"/>
  <c r="Q48" i="124"/>
  <c r="Q47" i="124"/>
  <c r="Q46" i="124"/>
  <c r="Q45" i="124"/>
  <c r="Q44" i="124"/>
  <c r="T44" i="124" s="1"/>
  <c r="Q43" i="124"/>
  <c r="T43" i="124" s="1"/>
  <c r="Q42" i="124"/>
  <c r="Q41" i="124"/>
  <c r="Q40" i="124"/>
  <c r="T40" i="124" s="1"/>
  <c r="Q39" i="124"/>
  <c r="T38" i="124"/>
  <c r="Q33" i="124"/>
  <c r="T33" i="124" s="1"/>
  <c r="T26" i="124"/>
  <c r="Q26" i="124"/>
  <c r="P25" i="124"/>
  <c r="P32" i="124" s="1"/>
  <c r="O25" i="124"/>
  <c r="O32" i="124" s="1"/>
  <c r="N25" i="124"/>
  <c r="N32" i="124" s="1"/>
  <c r="M25" i="124"/>
  <c r="M33" i="108" s="1"/>
  <c r="L25" i="124"/>
  <c r="L33" i="108" s="1"/>
  <c r="K25" i="124"/>
  <c r="K33" i="108" s="1"/>
  <c r="J25" i="124"/>
  <c r="J33" i="108" s="1"/>
  <c r="I25" i="124"/>
  <c r="I33" i="108" s="1"/>
  <c r="H25" i="124"/>
  <c r="H33" i="108" s="1"/>
  <c r="G25" i="124"/>
  <c r="G33" i="108" s="1"/>
  <c r="F25" i="124"/>
  <c r="F33" i="108" s="1"/>
  <c r="E25" i="124"/>
  <c r="E33" i="108" s="1"/>
  <c r="Q24" i="124"/>
  <c r="T24" i="124" s="1"/>
  <c r="Q23" i="124"/>
  <c r="T23" i="124" s="1"/>
  <c r="Q22" i="124"/>
  <c r="T22" i="124" s="1"/>
  <c r="Q21" i="124"/>
  <c r="T21" i="124" s="1"/>
  <c r="Q20" i="124"/>
  <c r="T20" i="124" s="1"/>
  <c r="T19" i="124"/>
  <c r="P17" i="124"/>
  <c r="P31" i="124" s="1"/>
  <c r="O17" i="124"/>
  <c r="O31" i="124" s="1"/>
  <c r="N17" i="124"/>
  <c r="N15" i="108" s="1"/>
  <c r="M17" i="124"/>
  <c r="M15" i="108" s="1"/>
  <c r="L17" i="124"/>
  <c r="L31" i="124" s="1"/>
  <c r="L34" i="124" s="1"/>
  <c r="K17" i="124"/>
  <c r="J17" i="124"/>
  <c r="J15" i="108" s="1"/>
  <c r="I17" i="124"/>
  <c r="I31" i="124" s="1"/>
  <c r="I34" i="124" s="1"/>
  <c r="H17" i="124"/>
  <c r="H31" i="124" s="1"/>
  <c r="H34" i="124" s="1"/>
  <c r="G17" i="124"/>
  <c r="G31" i="124" s="1"/>
  <c r="G34" i="124" s="1"/>
  <c r="F17" i="124"/>
  <c r="F15" i="108" s="1"/>
  <c r="E17" i="124"/>
  <c r="E31" i="124" s="1"/>
  <c r="E34" i="124" s="1"/>
  <c r="Q16" i="124"/>
  <c r="T16" i="124" s="1"/>
  <c r="Q15" i="124"/>
  <c r="T15" i="124" s="1"/>
  <c r="Q14" i="124"/>
  <c r="T14" i="124" s="1"/>
  <c r="Q13" i="124"/>
  <c r="T13" i="124" s="1"/>
  <c r="Q12" i="124"/>
  <c r="T12" i="124" s="1"/>
  <c r="D7" i="124"/>
  <c r="D5" i="124"/>
  <c r="D4" i="124"/>
  <c r="Q158" i="123"/>
  <c r="T158" i="123" s="1"/>
  <c r="Q157" i="123"/>
  <c r="T157" i="123" s="1"/>
  <c r="Q156" i="123"/>
  <c r="T156" i="123" s="1"/>
  <c r="Q155" i="123"/>
  <c r="T155" i="123" s="1"/>
  <c r="Q152" i="123"/>
  <c r="T152" i="123" s="1"/>
  <c r="Q151" i="123"/>
  <c r="T151" i="123" s="1"/>
  <c r="P124" i="123"/>
  <c r="O124" i="123"/>
  <c r="N124" i="123"/>
  <c r="M124" i="123"/>
  <c r="L124" i="123"/>
  <c r="K124" i="123"/>
  <c r="J124" i="123"/>
  <c r="I124" i="123"/>
  <c r="H124" i="123"/>
  <c r="G124" i="123"/>
  <c r="F124" i="123"/>
  <c r="E124" i="123"/>
  <c r="P123" i="123"/>
  <c r="O123" i="123"/>
  <c r="N123" i="123"/>
  <c r="M123" i="123"/>
  <c r="L123" i="123"/>
  <c r="K123" i="123"/>
  <c r="J123" i="123"/>
  <c r="I123" i="123"/>
  <c r="H123" i="123"/>
  <c r="G123" i="123"/>
  <c r="Q14" i="123" s="1"/>
  <c r="T14" i="123" s="1"/>
  <c r="F123" i="123"/>
  <c r="E123" i="123"/>
  <c r="P122" i="123"/>
  <c r="O122" i="123"/>
  <c r="N122" i="123"/>
  <c r="M122" i="123"/>
  <c r="L122" i="123"/>
  <c r="K122" i="123"/>
  <c r="J122" i="123"/>
  <c r="I122" i="123"/>
  <c r="H122" i="123"/>
  <c r="G122" i="123"/>
  <c r="F122" i="123"/>
  <c r="E122" i="123"/>
  <c r="P121" i="123"/>
  <c r="P17" i="123" s="1"/>
  <c r="O121" i="123"/>
  <c r="O17" i="123" s="1"/>
  <c r="N121" i="123"/>
  <c r="N17" i="123" s="1"/>
  <c r="M121" i="123"/>
  <c r="M17" i="123" s="1"/>
  <c r="L121" i="123"/>
  <c r="L17" i="123" s="1"/>
  <c r="K121" i="123"/>
  <c r="K17" i="123" s="1"/>
  <c r="J121" i="123"/>
  <c r="J17" i="123" s="1"/>
  <c r="I121" i="123"/>
  <c r="H121" i="123"/>
  <c r="H17" i="123" s="1"/>
  <c r="G121" i="123"/>
  <c r="G17" i="123" s="1"/>
  <c r="F121" i="123"/>
  <c r="E121" i="123"/>
  <c r="P120" i="123"/>
  <c r="O120" i="123"/>
  <c r="N120" i="123"/>
  <c r="M120" i="123"/>
  <c r="L120" i="123"/>
  <c r="K120" i="123"/>
  <c r="J120" i="123"/>
  <c r="I120" i="123"/>
  <c r="H120" i="123"/>
  <c r="G120" i="123"/>
  <c r="F120" i="123"/>
  <c r="E120" i="123"/>
  <c r="T119" i="123"/>
  <c r="T118" i="123"/>
  <c r="P117" i="123"/>
  <c r="O117" i="123"/>
  <c r="N117" i="123"/>
  <c r="M117" i="123"/>
  <c r="L117" i="123"/>
  <c r="K117" i="123"/>
  <c r="J117" i="123"/>
  <c r="I117" i="123"/>
  <c r="H117" i="123"/>
  <c r="G117" i="123"/>
  <c r="F117" i="123"/>
  <c r="E117" i="123"/>
  <c r="Q116" i="123"/>
  <c r="Q124" i="123" s="1"/>
  <c r="T124" i="123" s="1"/>
  <c r="Q115" i="123"/>
  <c r="T115" i="123" s="1"/>
  <c r="Q114" i="123"/>
  <c r="Q113" i="123"/>
  <c r="T113" i="123" s="1"/>
  <c r="Q112" i="123"/>
  <c r="Q120" i="123" s="1"/>
  <c r="T120" i="123" s="1"/>
  <c r="Q105" i="123"/>
  <c r="T105" i="123" s="1"/>
  <c r="Q104" i="123"/>
  <c r="Q103" i="123"/>
  <c r="T103" i="123" s="1"/>
  <c r="Q102" i="123"/>
  <c r="T102" i="123" s="1"/>
  <c r="Q101" i="123"/>
  <c r="T101" i="123" s="1"/>
  <c r="Q100" i="123"/>
  <c r="Q99" i="123"/>
  <c r="T99" i="123" s="1"/>
  <c r="Q98" i="123"/>
  <c r="T98" i="123" s="1"/>
  <c r="Q97" i="123"/>
  <c r="Q96" i="123"/>
  <c r="T96" i="123" s="1"/>
  <c r="Q94" i="123"/>
  <c r="T94" i="123" s="1"/>
  <c r="Q93" i="123"/>
  <c r="Q91" i="123"/>
  <c r="T91" i="123" s="1"/>
  <c r="Q90" i="123"/>
  <c r="T90" i="123" s="1"/>
  <c r="Q89" i="123"/>
  <c r="Q88" i="123"/>
  <c r="T88" i="123" s="1"/>
  <c r="Q87" i="123"/>
  <c r="T87" i="123" s="1"/>
  <c r="Q86" i="123"/>
  <c r="T86" i="123" s="1"/>
  <c r="Q85" i="123"/>
  <c r="Q84" i="123"/>
  <c r="T84" i="123" s="1"/>
  <c r="Q83" i="123"/>
  <c r="T83" i="123" s="1"/>
  <c r="Q82" i="123"/>
  <c r="T82" i="123" s="1"/>
  <c r="Q80" i="123"/>
  <c r="T80" i="123" s="1"/>
  <c r="Q79" i="123"/>
  <c r="T79" i="123" s="1"/>
  <c r="Q78" i="123"/>
  <c r="T78" i="123" s="1"/>
  <c r="Q76" i="123"/>
  <c r="T76" i="123" s="1"/>
  <c r="Q70" i="123"/>
  <c r="T70" i="123" s="1"/>
  <c r="Q69" i="123"/>
  <c r="Q68" i="123"/>
  <c r="T68" i="123" s="1"/>
  <c r="Q67" i="123"/>
  <c r="T67" i="123" s="1"/>
  <c r="Q66" i="123"/>
  <c r="T66" i="123" s="1"/>
  <c r="Q65" i="123"/>
  <c r="Q63" i="123"/>
  <c r="T63" i="123" s="1"/>
  <c r="Q62" i="123"/>
  <c r="Q61" i="123"/>
  <c r="Q60" i="123"/>
  <c r="Q55" i="123"/>
  <c r="T55" i="123" s="1"/>
  <c r="Q53" i="123"/>
  <c r="Q52" i="123"/>
  <c r="T52" i="123" s="1"/>
  <c r="Q51" i="123"/>
  <c r="T51" i="123" s="1"/>
  <c r="Q49" i="123"/>
  <c r="Q41" i="123"/>
  <c r="Q40" i="123"/>
  <c r="T40" i="123" s="1"/>
  <c r="Q39" i="123"/>
  <c r="T39" i="123" s="1"/>
  <c r="T38" i="123"/>
  <c r="Q33" i="123"/>
  <c r="Q26" i="123"/>
  <c r="T26" i="123" s="1"/>
  <c r="P25" i="123"/>
  <c r="P32" i="123" s="1"/>
  <c r="O25" i="123"/>
  <c r="O32" i="123" s="1"/>
  <c r="N25" i="123"/>
  <c r="N32" i="123" s="1"/>
  <c r="M25" i="123"/>
  <c r="M32" i="123" s="1"/>
  <c r="L25" i="123"/>
  <c r="L32" i="123" s="1"/>
  <c r="K25" i="123"/>
  <c r="K32" i="123" s="1"/>
  <c r="J25" i="123"/>
  <c r="J32" i="123" s="1"/>
  <c r="I25" i="123"/>
  <c r="I32" i="123" s="1"/>
  <c r="H25" i="123"/>
  <c r="H32" i="123" s="1"/>
  <c r="G25" i="123"/>
  <c r="G32" i="123" s="1"/>
  <c r="F25" i="123"/>
  <c r="F32" i="123" s="1"/>
  <c r="E25" i="123"/>
  <c r="E32" i="123" s="1"/>
  <c r="Q24" i="123"/>
  <c r="T24" i="123" s="1"/>
  <c r="Q23" i="123"/>
  <c r="T23" i="123" s="1"/>
  <c r="Q22" i="123"/>
  <c r="T22" i="123" s="1"/>
  <c r="Q21" i="123"/>
  <c r="T21" i="123" s="1"/>
  <c r="Q20" i="123"/>
  <c r="I17" i="123"/>
  <c r="F17" i="123"/>
  <c r="E17" i="123"/>
  <c r="Q16" i="123"/>
  <c r="T16" i="123" s="1"/>
  <c r="Q15" i="123"/>
  <c r="T15" i="123" s="1"/>
  <c r="Q12" i="123"/>
  <c r="D5" i="123"/>
  <c r="D4" i="123"/>
  <c r="P161" i="119"/>
  <c r="O161" i="119"/>
  <c r="N161" i="119"/>
  <c r="M161" i="119"/>
  <c r="L161" i="119"/>
  <c r="K161" i="119"/>
  <c r="J161" i="119"/>
  <c r="I161" i="119"/>
  <c r="H161" i="119"/>
  <c r="G161" i="119"/>
  <c r="F161" i="119"/>
  <c r="E161" i="119"/>
  <c r="P160" i="119"/>
  <c r="O160" i="119"/>
  <c r="N160" i="119"/>
  <c r="M160" i="119"/>
  <c r="L160" i="119"/>
  <c r="K160" i="119"/>
  <c r="J160" i="119"/>
  <c r="I160" i="119"/>
  <c r="H160" i="119"/>
  <c r="G160" i="119"/>
  <c r="F160" i="119"/>
  <c r="E160" i="119"/>
  <c r="P159" i="119"/>
  <c r="O159" i="119"/>
  <c r="N159" i="119"/>
  <c r="M159" i="119"/>
  <c r="L159" i="119"/>
  <c r="K159" i="119"/>
  <c r="J159" i="119"/>
  <c r="I159" i="119"/>
  <c r="H159" i="119"/>
  <c r="G159" i="119"/>
  <c r="F159" i="119"/>
  <c r="E159" i="119"/>
  <c r="Q158" i="119"/>
  <c r="U158" i="119" s="1"/>
  <c r="Q157" i="119"/>
  <c r="U157" i="119" s="1"/>
  <c r="Q156" i="119"/>
  <c r="U156" i="119" s="1"/>
  <c r="Q155" i="119"/>
  <c r="Q152" i="119"/>
  <c r="Q151" i="119"/>
  <c r="P150" i="119"/>
  <c r="O150" i="119"/>
  <c r="N150" i="119"/>
  <c r="M150" i="119"/>
  <c r="L150" i="119"/>
  <c r="K150" i="119"/>
  <c r="J150" i="119"/>
  <c r="I150" i="119"/>
  <c r="H150" i="119"/>
  <c r="G150" i="119"/>
  <c r="F150" i="119"/>
  <c r="E150" i="119"/>
  <c r="P149" i="119"/>
  <c r="O149" i="119"/>
  <c r="N149" i="119"/>
  <c r="M149" i="119"/>
  <c r="L149" i="119"/>
  <c r="K149" i="119"/>
  <c r="J149" i="119"/>
  <c r="I149" i="119"/>
  <c r="H149" i="119"/>
  <c r="G149" i="119"/>
  <c r="F149" i="119"/>
  <c r="E149" i="119"/>
  <c r="P148" i="119"/>
  <c r="O148" i="119"/>
  <c r="N148" i="119"/>
  <c r="M148" i="119"/>
  <c r="L148" i="119"/>
  <c r="K148" i="119"/>
  <c r="J148" i="119"/>
  <c r="I148" i="119"/>
  <c r="H148" i="119"/>
  <c r="G148" i="119"/>
  <c r="F148" i="119"/>
  <c r="E148" i="119"/>
  <c r="P147" i="119"/>
  <c r="O147" i="119"/>
  <c r="N147" i="119"/>
  <c r="M147" i="119"/>
  <c r="L147" i="119"/>
  <c r="K147" i="119"/>
  <c r="J147" i="119"/>
  <c r="I147" i="119"/>
  <c r="H147" i="119"/>
  <c r="G147" i="119"/>
  <c r="F147" i="119"/>
  <c r="E147" i="119"/>
  <c r="P146" i="119"/>
  <c r="O146" i="119"/>
  <c r="N146" i="119"/>
  <c r="M146" i="119"/>
  <c r="L146" i="119"/>
  <c r="K146" i="119"/>
  <c r="J146" i="119"/>
  <c r="I146" i="119"/>
  <c r="H146" i="119"/>
  <c r="G146" i="119"/>
  <c r="F146" i="119"/>
  <c r="E146" i="119"/>
  <c r="P145" i="119"/>
  <c r="O145" i="119"/>
  <c r="N145" i="119"/>
  <c r="M145" i="119"/>
  <c r="L145" i="119"/>
  <c r="K145" i="119"/>
  <c r="J145" i="119"/>
  <c r="I145" i="119"/>
  <c r="H145" i="119"/>
  <c r="G145" i="119"/>
  <c r="F145" i="119"/>
  <c r="E145" i="119"/>
  <c r="P140" i="119"/>
  <c r="O140" i="119"/>
  <c r="N140" i="119"/>
  <c r="M140" i="119"/>
  <c r="L140" i="119"/>
  <c r="K140" i="119"/>
  <c r="J140" i="119"/>
  <c r="I140" i="119"/>
  <c r="H140" i="119"/>
  <c r="G140" i="119"/>
  <c r="F140" i="119"/>
  <c r="E140" i="119"/>
  <c r="P139" i="119"/>
  <c r="O139" i="119"/>
  <c r="N139" i="119"/>
  <c r="M139" i="119"/>
  <c r="L139" i="119"/>
  <c r="K139" i="119"/>
  <c r="J139" i="119"/>
  <c r="I139" i="119"/>
  <c r="H139" i="119"/>
  <c r="G139" i="119"/>
  <c r="F139" i="119"/>
  <c r="E139" i="119"/>
  <c r="P138" i="119"/>
  <c r="O138" i="119"/>
  <c r="N138" i="119"/>
  <c r="M138" i="119"/>
  <c r="L138" i="119"/>
  <c r="K138" i="119"/>
  <c r="J138" i="119"/>
  <c r="I138" i="119"/>
  <c r="H138" i="119"/>
  <c r="G138" i="119"/>
  <c r="F138" i="119"/>
  <c r="E138" i="119"/>
  <c r="P137" i="119"/>
  <c r="O137" i="119"/>
  <c r="N137" i="119"/>
  <c r="M137" i="119"/>
  <c r="L137" i="119"/>
  <c r="K137" i="119"/>
  <c r="J137" i="119"/>
  <c r="I137" i="119"/>
  <c r="H137" i="119"/>
  <c r="G137" i="119"/>
  <c r="F137" i="119"/>
  <c r="E137" i="119"/>
  <c r="P136" i="119"/>
  <c r="O136" i="119"/>
  <c r="N136" i="119"/>
  <c r="M136" i="119"/>
  <c r="L136" i="119"/>
  <c r="K136" i="119"/>
  <c r="J136" i="119"/>
  <c r="I136" i="119"/>
  <c r="H136" i="119"/>
  <c r="G136" i="119"/>
  <c r="F136" i="119"/>
  <c r="E136" i="119"/>
  <c r="P133" i="119"/>
  <c r="O133" i="119"/>
  <c r="N133" i="119"/>
  <c r="M133" i="119"/>
  <c r="L133" i="119"/>
  <c r="K133" i="119"/>
  <c r="J133" i="119"/>
  <c r="I133" i="119"/>
  <c r="H133" i="119"/>
  <c r="G133" i="119"/>
  <c r="F133" i="119"/>
  <c r="E133" i="119"/>
  <c r="Q132" i="119"/>
  <c r="P131" i="119"/>
  <c r="O131" i="119"/>
  <c r="N131" i="119"/>
  <c r="M131" i="119"/>
  <c r="L131" i="119"/>
  <c r="K131" i="119"/>
  <c r="J131" i="119"/>
  <c r="I131" i="119"/>
  <c r="H131" i="119"/>
  <c r="G131" i="119"/>
  <c r="F131" i="119"/>
  <c r="E131" i="119"/>
  <c r="P124" i="119"/>
  <c r="O124" i="119"/>
  <c r="N124" i="119"/>
  <c r="M124" i="119"/>
  <c r="L124" i="119"/>
  <c r="K124" i="119"/>
  <c r="J124" i="119"/>
  <c r="I124" i="119"/>
  <c r="H124" i="119"/>
  <c r="G124" i="119"/>
  <c r="F124" i="119"/>
  <c r="E124" i="119"/>
  <c r="P123" i="119"/>
  <c r="O123" i="119"/>
  <c r="N123" i="119"/>
  <c r="M123" i="119"/>
  <c r="L123" i="119"/>
  <c r="K123" i="119"/>
  <c r="J123" i="119"/>
  <c r="I123" i="119"/>
  <c r="H123" i="119"/>
  <c r="G123" i="119"/>
  <c r="F123" i="119"/>
  <c r="E123" i="119"/>
  <c r="P122" i="119"/>
  <c r="O122" i="119"/>
  <c r="N122" i="119"/>
  <c r="M122" i="119"/>
  <c r="L122" i="119"/>
  <c r="K122" i="119"/>
  <c r="J122" i="119"/>
  <c r="I122" i="119"/>
  <c r="H122" i="119"/>
  <c r="G122" i="119"/>
  <c r="F122" i="119"/>
  <c r="E122" i="119"/>
  <c r="P121" i="119"/>
  <c r="O121" i="119"/>
  <c r="N121" i="119"/>
  <c r="M121" i="119"/>
  <c r="L121" i="119"/>
  <c r="K121" i="119"/>
  <c r="J121" i="119"/>
  <c r="I121" i="119"/>
  <c r="H121" i="119"/>
  <c r="G121" i="119"/>
  <c r="F121" i="119"/>
  <c r="E121" i="119"/>
  <c r="P120" i="119"/>
  <c r="O120" i="119"/>
  <c r="N120" i="119"/>
  <c r="M120" i="119"/>
  <c r="L120" i="119"/>
  <c r="K120" i="119"/>
  <c r="J120" i="119"/>
  <c r="I120" i="119"/>
  <c r="H120" i="119"/>
  <c r="G120" i="119"/>
  <c r="F120" i="119"/>
  <c r="E120" i="119"/>
  <c r="P117" i="119"/>
  <c r="P127" i="119" s="1"/>
  <c r="O117" i="119"/>
  <c r="N117" i="119"/>
  <c r="N125" i="119" s="1"/>
  <c r="M117" i="119"/>
  <c r="L117" i="119"/>
  <c r="L127" i="119" s="1"/>
  <c r="K117" i="119"/>
  <c r="J117" i="119"/>
  <c r="J125" i="119" s="1"/>
  <c r="I117" i="119"/>
  <c r="I127" i="119" s="1"/>
  <c r="H117" i="119"/>
  <c r="H127" i="119" s="1"/>
  <c r="G117" i="119"/>
  <c r="F117" i="119"/>
  <c r="F125" i="119" s="1"/>
  <c r="E117" i="119"/>
  <c r="Q116" i="119"/>
  <c r="Q124" i="119" s="1"/>
  <c r="Q115" i="119"/>
  <c r="Q123" i="119" s="1"/>
  <c r="U123" i="119" s="1"/>
  <c r="Q114" i="119"/>
  <c r="U114" i="119" s="1"/>
  <c r="Q113" i="119"/>
  <c r="Q121" i="119" s="1"/>
  <c r="U121" i="119" s="1"/>
  <c r="Q112" i="119"/>
  <c r="Q120" i="119" s="1"/>
  <c r="U120" i="119" s="1"/>
  <c r="Q107" i="119"/>
  <c r="U107" i="119" s="1"/>
  <c r="Q106" i="119"/>
  <c r="Q105" i="119"/>
  <c r="U105" i="119" s="1"/>
  <c r="Q104" i="119"/>
  <c r="U104" i="119" s="1"/>
  <c r="Q103" i="119"/>
  <c r="U103" i="119" s="1"/>
  <c r="Q102" i="119"/>
  <c r="Q101" i="119"/>
  <c r="U101" i="119" s="1"/>
  <c r="Q100" i="119"/>
  <c r="U100" i="119" s="1"/>
  <c r="Q99" i="119"/>
  <c r="Q98" i="119"/>
  <c r="U98" i="119" s="1"/>
  <c r="Q97" i="119"/>
  <c r="U97" i="119" s="1"/>
  <c r="Q96" i="119"/>
  <c r="U96" i="119" s="1"/>
  <c r="Q94" i="119"/>
  <c r="U94" i="119" s="1"/>
  <c r="Q93" i="119"/>
  <c r="Q92" i="119"/>
  <c r="U92" i="119" s="1"/>
  <c r="Q91" i="119"/>
  <c r="Q90" i="119"/>
  <c r="U90" i="119" s="1"/>
  <c r="Q89" i="119"/>
  <c r="U89" i="119" s="1"/>
  <c r="Q88" i="119"/>
  <c r="U88" i="119" s="1"/>
  <c r="Q87" i="119"/>
  <c r="Q86" i="119"/>
  <c r="U86" i="119" s="1"/>
  <c r="Q85" i="119"/>
  <c r="Q84" i="119"/>
  <c r="U84" i="119" s="1"/>
  <c r="Q83" i="119"/>
  <c r="Q82" i="119"/>
  <c r="U82" i="119" s="1"/>
  <c r="Q81" i="119"/>
  <c r="Q80" i="119"/>
  <c r="U80" i="119" s="1"/>
  <c r="Q79" i="119"/>
  <c r="Q78" i="119"/>
  <c r="U78" i="119" s="1"/>
  <c r="Q77" i="119"/>
  <c r="U77" i="119" s="1"/>
  <c r="Q76" i="119"/>
  <c r="U76" i="119" s="1"/>
  <c r="Q75" i="119"/>
  <c r="Q74" i="119"/>
  <c r="U74" i="119" s="1"/>
  <c r="Q73" i="119"/>
  <c r="Q72" i="119"/>
  <c r="U72" i="119" s="1"/>
  <c r="Q71" i="119"/>
  <c r="Q70" i="119"/>
  <c r="U70" i="119" s="1"/>
  <c r="Q69" i="119"/>
  <c r="Q68" i="119"/>
  <c r="U68" i="119" s="1"/>
  <c r="Q67" i="119"/>
  <c r="Q66" i="119"/>
  <c r="U66" i="119" s="1"/>
  <c r="Q65" i="119"/>
  <c r="Q64" i="119"/>
  <c r="Q63" i="119"/>
  <c r="U63" i="119" s="1"/>
  <c r="Q62" i="119"/>
  <c r="Q61" i="119"/>
  <c r="U61" i="119" s="1"/>
  <c r="Q60" i="119"/>
  <c r="Q59" i="119"/>
  <c r="Q58" i="119"/>
  <c r="U58" i="119" s="1"/>
  <c r="Q57" i="119"/>
  <c r="Q56" i="119"/>
  <c r="U56" i="119" s="1"/>
  <c r="Q55" i="119"/>
  <c r="Q53" i="119"/>
  <c r="Q52" i="119"/>
  <c r="U52" i="119" s="1"/>
  <c r="Q51" i="119"/>
  <c r="Q50" i="119"/>
  <c r="Q49" i="119"/>
  <c r="U49" i="119" s="1"/>
  <c r="Q48" i="119"/>
  <c r="U48" i="119" s="1"/>
  <c r="Q47" i="119"/>
  <c r="U47" i="119" s="1"/>
  <c r="U46" i="119"/>
  <c r="Q46" i="119"/>
  <c r="U45" i="119"/>
  <c r="Q45" i="119"/>
  <c r="U44" i="119"/>
  <c r="Q44" i="119"/>
  <c r="U43" i="119"/>
  <c r="Q43" i="119"/>
  <c r="U42" i="119"/>
  <c r="Q42" i="119"/>
  <c r="U41" i="119"/>
  <c r="Q41" i="119"/>
  <c r="U40" i="119"/>
  <c r="Q40" i="119"/>
  <c r="U39" i="119"/>
  <c r="Q39" i="119"/>
  <c r="Q33" i="119"/>
  <c r="U33" i="119" s="1"/>
  <c r="Q26" i="119"/>
  <c r="P25" i="119"/>
  <c r="P32" i="119" s="1"/>
  <c r="O25" i="119"/>
  <c r="O32" i="119" s="1"/>
  <c r="N25" i="119"/>
  <c r="N32" i="119" s="1"/>
  <c r="M25" i="119"/>
  <c r="L25" i="119"/>
  <c r="L32" i="119" s="1"/>
  <c r="K25" i="119"/>
  <c r="K32" i="119" s="1"/>
  <c r="J25" i="119"/>
  <c r="J32" i="119" s="1"/>
  <c r="I25" i="119"/>
  <c r="H25" i="119"/>
  <c r="H32" i="119" s="1"/>
  <c r="G25" i="119"/>
  <c r="G32" i="119" s="1"/>
  <c r="F25" i="119"/>
  <c r="F32" i="119" s="1"/>
  <c r="E25" i="119"/>
  <c r="Q24" i="119"/>
  <c r="Q23" i="119"/>
  <c r="U23" i="119" s="1"/>
  <c r="Q22" i="119"/>
  <c r="U22" i="119" s="1"/>
  <c r="Q21" i="119"/>
  <c r="U21" i="119" s="1"/>
  <c r="U20" i="119"/>
  <c r="Q20" i="119"/>
  <c r="P17" i="119"/>
  <c r="O17" i="119"/>
  <c r="O31" i="119" s="1"/>
  <c r="N17" i="119"/>
  <c r="N12" i="108" s="1"/>
  <c r="M17" i="119"/>
  <c r="M31" i="119" s="1"/>
  <c r="L17" i="119"/>
  <c r="K17" i="119"/>
  <c r="K31" i="119" s="1"/>
  <c r="J17" i="119"/>
  <c r="J12" i="108" s="1"/>
  <c r="I17" i="119"/>
  <c r="I31" i="119" s="1"/>
  <c r="H17" i="119"/>
  <c r="G17" i="119"/>
  <c r="G31" i="119" s="1"/>
  <c r="F17" i="119"/>
  <c r="F12" i="108" s="1"/>
  <c r="E17" i="119"/>
  <c r="E31" i="119" s="1"/>
  <c r="Q16" i="119"/>
  <c r="Q15" i="119"/>
  <c r="U15" i="119" s="1"/>
  <c r="Q14" i="119"/>
  <c r="U14" i="119" s="1"/>
  <c r="Q13" i="119"/>
  <c r="U13" i="119" s="1"/>
  <c r="Q12" i="119"/>
  <c r="D5" i="119"/>
  <c r="D4" i="119"/>
  <c r="P198" i="108"/>
  <c r="O198" i="108"/>
  <c r="N198" i="108"/>
  <c r="M198" i="108"/>
  <c r="L198" i="108"/>
  <c r="K198" i="108"/>
  <c r="J198" i="108"/>
  <c r="I198" i="108"/>
  <c r="H198" i="108"/>
  <c r="G198" i="108"/>
  <c r="F198" i="108"/>
  <c r="E198" i="108"/>
  <c r="P197" i="108"/>
  <c r="O197" i="108"/>
  <c r="N197" i="108"/>
  <c r="M197" i="108"/>
  <c r="L197" i="108"/>
  <c r="K197" i="108"/>
  <c r="J197" i="108"/>
  <c r="I197" i="108"/>
  <c r="H197" i="108"/>
  <c r="G197" i="108"/>
  <c r="F197" i="108"/>
  <c r="E197" i="108"/>
  <c r="P196" i="108"/>
  <c r="O196" i="108"/>
  <c r="N196" i="108"/>
  <c r="M196" i="108"/>
  <c r="L196" i="108"/>
  <c r="K196" i="108"/>
  <c r="J196" i="108"/>
  <c r="I196" i="108"/>
  <c r="H196" i="108"/>
  <c r="G196" i="108"/>
  <c r="F196" i="108"/>
  <c r="E196" i="108"/>
  <c r="P195" i="108"/>
  <c r="O195" i="108"/>
  <c r="N195" i="108"/>
  <c r="M195" i="108"/>
  <c r="L195" i="108"/>
  <c r="K195" i="108"/>
  <c r="J195" i="108"/>
  <c r="I195" i="108"/>
  <c r="H195" i="108"/>
  <c r="G195" i="108"/>
  <c r="F195" i="108"/>
  <c r="E195" i="108"/>
  <c r="P192" i="108"/>
  <c r="O192" i="108"/>
  <c r="N192" i="108"/>
  <c r="M192" i="108"/>
  <c r="L192" i="108"/>
  <c r="J192" i="108"/>
  <c r="I192" i="108"/>
  <c r="H192" i="108"/>
  <c r="G192" i="108"/>
  <c r="F192" i="108"/>
  <c r="P191" i="108"/>
  <c r="O191" i="108"/>
  <c r="N191" i="108"/>
  <c r="M191" i="108"/>
  <c r="L191" i="108"/>
  <c r="J191" i="108"/>
  <c r="I191" i="108"/>
  <c r="H191" i="108"/>
  <c r="G191" i="108"/>
  <c r="F191" i="108"/>
  <c r="P162" i="108"/>
  <c r="O162" i="108"/>
  <c r="N162" i="108"/>
  <c r="M162" i="108"/>
  <c r="L162" i="108"/>
  <c r="K162" i="108"/>
  <c r="J162" i="108"/>
  <c r="I162" i="108"/>
  <c r="H162" i="108"/>
  <c r="G162" i="108"/>
  <c r="F162" i="108"/>
  <c r="E162" i="108"/>
  <c r="P161" i="108"/>
  <c r="O161" i="108"/>
  <c r="N161" i="108"/>
  <c r="M161" i="108"/>
  <c r="L161" i="108"/>
  <c r="K161" i="108"/>
  <c r="J161" i="108"/>
  <c r="I161" i="108"/>
  <c r="H161" i="108"/>
  <c r="G161" i="108"/>
  <c r="F161" i="108"/>
  <c r="E161" i="108"/>
  <c r="P160" i="108"/>
  <c r="O160" i="108"/>
  <c r="N160" i="108"/>
  <c r="M160" i="108"/>
  <c r="L160" i="108"/>
  <c r="K160" i="108"/>
  <c r="J160" i="108"/>
  <c r="I160" i="108"/>
  <c r="H160" i="108"/>
  <c r="G160" i="108"/>
  <c r="F160" i="108"/>
  <c r="E160" i="108"/>
  <c r="P159" i="108"/>
  <c r="O159" i="108"/>
  <c r="N159" i="108"/>
  <c r="M159" i="108"/>
  <c r="L159" i="108"/>
  <c r="K159" i="108"/>
  <c r="J159" i="108"/>
  <c r="I159" i="108"/>
  <c r="H159" i="108"/>
  <c r="G159" i="108"/>
  <c r="F159" i="108"/>
  <c r="E159" i="108"/>
  <c r="P158" i="108"/>
  <c r="O158" i="108"/>
  <c r="N158" i="108"/>
  <c r="M158" i="108"/>
  <c r="L158" i="108"/>
  <c r="K158" i="108"/>
  <c r="J158" i="108"/>
  <c r="I158" i="108"/>
  <c r="H158" i="108"/>
  <c r="G158" i="108"/>
  <c r="F158" i="108"/>
  <c r="E158" i="108"/>
  <c r="P157" i="108"/>
  <c r="O157" i="108"/>
  <c r="N157" i="108"/>
  <c r="M157" i="108"/>
  <c r="L157" i="108"/>
  <c r="K157" i="108"/>
  <c r="J157" i="108"/>
  <c r="I157" i="108"/>
  <c r="H157" i="108"/>
  <c r="G157" i="108"/>
  <c r="F157" i="108"/>
  <c r="E157" i="108"/>
  <c r="P156" i="108"/>
  <c r="O156" i="108"/>
  <c r="N156" i="108"/>
  <c r="M156" i="108"/>
  <c r="L156" i="108"/>
  <c r="K156" i="108"/>
  <c r="J156" i="108"/>
  <c r="I156" i="108"/>
  <c r="H156" i="108"/>
  <c r="G156" i="108"/>
  <c r="F156" i="108"/>
  <c r="E156" i="108"/>
  <c r="Q145" i="108"/>
  <c r="V145" i="108" s="1"/>
  <c r="Q144" i="108"/>
  <c r="Q143" i="108"/>
  <c r="V143" i="108" s="1"/>
  <c r="Q142" i="108"/>
  <c r="Q141" i="108"/>
  <c r="V141" i="108" s="1"/>
  <c r="Q140" i="108"/>
  <c r="Q139" i="108"/>
  <c r="V139" i="108" s="1"/>
  <c r="P128" i="108"/>
  <c r="O128" i="108"/>
  <c r="N128" i="108"/>
  <c r="M128" i="108"/>
  <c r="L128" i="108"/>
  <c r="K128" i="108"/>
  <c r="J128" i="108"/>
  <c r="I128" i="108"/>
  <c r="H128" i="108"/>
  <c r="G128" i="108"/>
  <c r="F128" i="108"/>
  <c r="E128" i="108"/>
  <c r="P127" i="108"/>
  <c r="O127" i="108"/>
  <c r="N127" i="108"/>
  <c r="M127" i="108"/>
  <c r="L127" i="108"/>
  <c r="K127" i="108"/>
  <c r="J127" i="108"/>
  <c r="I127" i="108"/>
  <c r="H127" i="108"/>
  <c r="G127" i="108"/>
  <c r="F127" i="108"/>
  <c r="E127" i="108"/>
  <c r="P126" i="108"/>
  <c r="O126" i="108"/>
  <c r="N126" i="108"/>
  <c r="M126" i="108"/>
  <c r="L126" i="108"/>
  <c r="K126" i="108"/>
  <c r="J126" i="108"/>
  <c r="I126" i="108"/>
  <c r="H126" i="108"/>
  <c r="G126" i="108"/>
  <c r="F126" i="108"/>
  <c r="E126" i="108"/>
  <c r="P125" i="108"/>
  <c r="O125" i="108"/>
  <c r="N125" i="108"/>
  <c r="M125" i="108"/>
  <c r="L125" i="108"/>
  <c r="K125" i="108"/>
  <c r="J125" i="108"/>
  <c r="I125" i="108"/>
  <c r="H125" i="108"/>
  <c r="G125" i="108"/>
  <c r="F125" i="108"/>
  <c r="E125" i="108"/>
  <c r="P124" i="108"/>
  <c r="O124" i="108"/>
  <c r="N124" i="108"/>
  <c r="M124" i="108"/>
  <c r="L124" i="108"/>
  <c r="K124" i="108"/>
  <c r="J124" i="108"/>
  <c r="I124" i="108"/>
  <c r="H124" i="108"/>
  <c r="G124" i="108"/>
  <c r="F124" i="108"/>
  <c r="E124" i="108"/>
  <c r="P123" i="108"/>
  <c r="O123" i="108"/>
  <c r="N123" i="108"/>
  <c r="M123" i="108"/>
  <c r="L123" i="108"/>
  <c r="K123" i="108"/>
  <c r="J123" i="108"/>
  <c r="I123" i="108"/>
  <c r="H123" i="108"/>
  <c r="G123" i="108"/>
  <c r="F123" i="108"/>
  <c r="E123" i="108"/>
  <c r="P122" i="108"/>
  <c r="O122" i="108"/>
  <c r="N122" i="108"/>
  <c r="M122" i="108"/>
  <c r="L122" i="108"/>
  <c r="K122" i="108"/>
  <c r="J122" i="108"/>
  <c r="I122" i="108"/>
  <c r="H122" i="108"/>
  <c r="G122" i="108"/>
  <c r="F122" i="108"/>
  <c r="E122" i="108"/>
  <c r="P121" i="108"/>
  <c r="O121" i="108"/>
  <c r="N121" i="108"/>
  <c r="M121" i="108"/>
  <c r="L121" i="108"/>
  <c r="K121" i="108"/>
  <c r="J121" i="108"/>
  <c r="I121" i="108"/>
  <c r="H121" i="108"/>
  <c r="G121" i="108"/>
  <c r="F121" i="108"/>
  <c r="E121" i="108"/>
  <c r="P120" i="108"/>
  <c r="O120" i="108"/>
  <c r="N120" i="108"/>
  <c r="M120" i="108"/>
  <c r="L120" i="108"/>
  <c r="K120" i="108"/>
  <c r="J120" i="108"/>
  <c r="I120" i="108"/>
  <c r="H120" i="108"/>
  <c r="G120" i="108"/>
  <c r="F120" i="108"/>
  <c r="E120" i="108"/>
  <c r="P119" i="108"/>
  <c r="O119" i="108"/>
  <c r="N119" i="108"/>
  <c r="M119" i="108"/>
  <c r="L119" i="108"/>
  <c r="K119" i="108"/>
  <c r="J119" i="108"/>
  <c r="I119" i="108"/>
  <c r="H119" i="108"/>
  <c r="G119" i="108"/>
  <c r="F119" i="108"/>
  <c r="E119" i="108"/>
  <c r="P117" i="108"/>
  <c r="O117" i="108"/>
  <c r="N117" i="108"/>
  <c r="M117" i="108"/>
  <c r="L117" i="108"/>
  <c r="K117" i="108"/>
  <c r="J117" i="108"/>
  <c r="I117" i="108"/>
  <c r="H117" i="108"/>
  <c r="G117" i="108"/>
  <c r="F117" i="108"/>
  <c r="E117" i="108"/>
  <c r="P116" i="108"/>
  <c r="O116" i="108"/>
  <c r="N116" i="108"/>
  <c r="M116" i="108"/>
  <c r="L116" i="108"/>
  <c r="K116" i="108"/>
  <c r="J116" i="108"/>
  <c r="I116" i="108"/>
  <c r="H116" i="108"/>
  <c r="G116" i="108"/>
  <c r="F116" i="108"/>
  <c r="E116" i="108"/>
  <c r="P114" i="108"/>
  <c r="O114" i="108"/>
  <c r="N114" i="108"/>
  <c r="M114" i="108"/>
  <c r="L114" i="108"/>
  <c r="K114" i="108"/>
  <c r="J114" i="108"/>
  <c r="I114" i="108"/>
  <c r="H114" i="108"/>
  <c r="G114" i="108"/>
  <c r="F114" i="108"/>
  <c r="E114" i="108"/>
  <c r="P113" i="108"/>
  <c r="O113" i="108"/>
  <c r="N113" i="108"/>
  <c r="M113" i="108"/>
  <c r="L113" i="108"/>
  <c r="K113" i="108"/>
  <c r="J113" i="108"/>
  <c r="I113" i="108"/>
  <c r="H113" i="108"/>
  <c r="G113" i="108"/>
  <c r="F113" i="108"/>
  <c r="E113" i="108"/>
  <c r="P112" i="108"/>
  <c r="O112" i="108"/>
  <c r="N112" i="108"/>
  <c r="M112" i="108"/>
  <c r="L112" i="108"/>
  <c r="K112" i="108"/>
  <c r="J112" i="108"/>
  <c r="I112" i="108"/>
  <c r="H112" i="108"/>
  <c r="G112" i="108"/>
  <c r="F112" i="108"/>
  <c r="E112" i="108"/>
  <c r="P111" i="108"/>
  <c r="O111" i="108"/>
  <c r="N111" i="108"/>
  <c r="M111" i="108"/>
  <c r="L111" i="108"/>
  <c r="K111" i="108"/>
  <c r="J111" i="108"/>
  <c r="I111" i="108"/>
  <c r="H111" i="108"/>
  <c r="G111" i="108"/>
  <c r="F111" i="108"/>
  <c r="E111" i="108"/>
  <c r="P110" i="108"/>
  <c r="O110" i="108"/>
  <c r="N110" i="108"/>
  <c r="M110" i="108"/>
  <c r="L110" i="108"/>
  <c r="K110" i="108"/>
  <c r="J110" i="108"/>
  <c r="I110" i="108"/>
  <c r="H110" i="108"/>
  <c r="G110" i="108"/>
  <c r="F110" i="108"/>
  <c r="E110" i="108"/>
  <c r="P109" i="108"/>
  <c r="O109" i="108"/>
  <c r="N109" i="108"/>
  <c r="M109" i="108"/>
  <c r="L109" i="108"/>
  <c r="K109" i="108"/>
  <c r="J109" i="108"/>
  <c r="I109" i="108"/>
  <c r="H109" i="108"/>
  <c r="G109" i="108"/>
  <c r="F109" i="108"/>
  <c r="E109" i="108"/>
  <c r="P108" i="108"/>
  <c r="O108" i="108"/>
  <c r="N108" i="108"/>
  <c r="M108" i="108"/>
  <c r="L108" i="108"/>
  <c r="K108" i="108"/>
  <c r="J108" i="108"/>
  <c r="I108" i="108"/>
  <c r="H108" i="108"/>
  <c r="G108" i="108"/>
  <c r="F108" i="108"/>
  <c r="E108" i="108"/>
  <c r="P107" i="108"/>
  <c r="O107" i="108"/>
  <c r="N107" i="108"/>
  <c r="M107" i="108"/>
  <c r="L107" i="108"/>
  <c r="K107" i="108"/>
  <c r="J107" i="108"/>
  <c r="I107" i="108"/>
  <c r="H107" i="108"/>
  <c r="G107" i="108"/>
  <c r="F107" i="108"/>
  <c r="E107" i="108"/>
  <c r="P106" i="108"/>
  <c r="O106" i="108"/>
  <c r="N106" i="108"/>
  <c r="M106" i="108"/>
  <c r="L106" i="108"/>
  <c r="K106" i="108"/>
  <c r="J106" i="108"/>
  <c r="I106" i="108"/>
  <c r="H106" i="108"/>
  <c r="G106" i="108"/>
  <c r="F106" i="108"/>
  <c r="E106" i="108"/>
  <c r="P105" i="108"/>
  <c r="O105" i="108"/>
  <c r="N105" i="108"/>
  <c r="M105" i="108"/>
  <c r="L105" i="108"/>
  <c r="K105" i="108"/>
  <c r="J105" i="108"/>
  <c r="I105" i="108"/>
  <c r="H105" i="108"/>
  <c r="G105" i="108"/>
  <c r="F105" i="108"/>
  <c r="E105" i="108"/>
  <c r="P102" i="108"/>
  <c r="O102" i="108"/>
  <c r="N102" i="108"/>
  <c r="M102" i="108"/>
  <c r="L102" i="108"/>
  <c r="K102" i="108"/>
  <c r="J102" i="108"/>
  <c r="I102" i="108"/>
  <c r="H102" i="108"/>
  <c r="G102" i="108"/>
  <c r="F102" i="108"/>
  <c r="E102" i="108"/>
  <c r="P101" i="108"/>
  <c r="O101" i="108"/>
  <c r="N101" i="108"/>
  <c r="M101" i="108"/>
  <c r="L101" i="108"/>
  <c r="K101" i="108"/>
  <c r="J101" i="108"/>
  <c r="I101" i="108"/>
  <c r="H101" i="108"/>
  <c r="G101" i="108"/>
  <c r="F101" i="108"/>
  <c r="E101" i="108"/>
  <c r="P93" i="108"/>
  <c r="O93" i="108"/>
  <c r="N93" i="108"/>
  <c r="M93" i="108"/>
  <c r="L93" i="108"/>
  <c r="K93" i="108"/>
  <c r="J93" i="108"/>
  <c r="I93" i="108"/>
  <c r="H93" i="108"/>
  <c r="G93" i="108"/>
  <c r="F93" i="108"/>
  <c r="E93" i="108"/>
  <c r="P92" i="108"/>
  <c r="O92" i="108"/>
  <c r="N92" i="108"/>
  <c r="M92" i="108"/>
  <c r="L92" i="108"/>
  <c r="K92" i="108"/>
  <c r="J92" i="108"/>
  <c r="I92" i="108"/>
  <c r="H92" i="108"/>
  <c r="G92" i="108"/>
  <c r="F92" i="108"/>
  <c r="E92" i="108"/>
  <c r="P91" i="108"/>
  <c r="O91" i="108"/>
  <c r="N91" i="108"/>
  <c r="M91" i="108"/>
  <c r="L91" i="108"/>
  <c r="K91" i="108"/>
  <c r="J91" i="108"/>
  <c r="I91" i="108"/>
  <c r="H91" i="108"/>
  <c r="G91" i="108"/>
  <c r="F91" i="108"/>
  <c r="E91" i="108"/>
  <c r="O90" i="108"/>
  <c r="J90" i="108"/>
  <c r="G90" i="108"/>
  <c r="E88" i="108"/>
  <c r="P78" i="108"/>
  <c r="O78" i="108"/>
  <c r="N78" i="108"/>
  <c r="M78" i="108"/>
  <c r="L78" i="108"/>
  <c r="K78" i="108"/>
  <c r="J78" i="108"/>
  <c r="I78" i="108"/>
  <c r="H78" i="108"/>
  <c r="G78" i="108"/>
  <c r="F78" i="108"/>
  <c r="E78" i="108"/>
  <c r="P76" i="108"/>
  <c r="O76" i="108"/>
  <c r="N76" i="108"/>
  <c r="M76" i="108"/>
  <c r="L76" i="108"/>
  <c r="K76" i="108"/>
  <c r="J76" i="108"/>
  <c r="I76" i="108"/>
  <c r="H76" i="108"/>
  <c r="G76" i="108"/>
  <c r="F76" i="108"/>
  <c r="E76" i="108"/>
  <c r="P72" i="108"/>
  <c r="O72" i="108"/>
  <c r="N72" i="108"/>
  <c r="M72" i="108"/>
  <c r="L72" i="108"/>
  <c r="K72" i="108"/>
  <c r="J72" i="108"/>
  <c r="I72" i="108"/>
  <c r="H72" i="108"/>
  <c r="G72" i="108"/>
  <c r="F72" i="108"/>
  <c r="E72" i="108"/>
  <c r="P64" i="108"/>
  <c r="O64" i="108"/>
  <c r="N64" i="108"/>
  <c r="M64" i="108"/>
  <c r="L64" i="108"/>
  <c r="K64" i="108"/>
  <c r="J64" i="108"/>
  <c r="I64" i="108"/>
  <c r="H64" i="108"/>
  <c r="G64" i="108"/>
  <c r="F64" i="108"/>
  <c r="E64" i="108"/>
  <c r="P63" i="108"/>
  <c r="O63" i="108"/>
  <c r="N63" i="108"/>
  <c r="M63" i="108"/>
  <c r="L63" i="108"/>
  <c r="K63" i="108"/>
  <c r="J63" i="108"/>
  <c r="I63" i="108"/>
  <c r="H63" i="108"/>
  <c r="G63" i="108"/>
  <c r="F63" i="108"/>
  <c r="E63" i="108"/>
  <c r="P62" i="108"/>
  <c r="O62" i="108"/>
  <c r="N62" i="108"/>
  <c r="M62" i="108"/>
  <c r="L62" i="108"/>
  <c r="K62" i="108"/>
  <c r="J62" i="108"/>
  <c r="I62" i="108"/>
  <c r="H62" i="108"/>
  <c r="G62" i="108"/>
  <c r="F62" i="108"/>
  <c r="E62" i="108"/>
  <c r="P56" i="108"/>
  <c r="O56" i="108"/>
  <c r="N56" i="108"/>
  <c r="M56" i="108"/>
  <c r="L56" i="108"/>
  <c r="K56" i="108"/>
  <c r="J56" i="108"/>
  <c r="I56" i="108"/>
  <c r="H56" i="108"/>
  <c r="G56" i="108"/>
  <c r="F56" i="108"/>
  <c r="E56" i="108"/>
  <c r="P48" i="108"/>
  <c r="O48" i="108"/>
  <c r="N48" i="108"/>
  <c r="M48" i="108"/>
  <c r="L48" i="108"/>
  <c r="K48" i="108"/>
  <c r="J48" i="108"/>
  <c r="I48" i="108"/>
  <c r="H48" i="108"/>
  <c r="G48" i="108"/>
  <c r="F48" i="108"/>
  <c r="E48" i="108"/>
  <c r="P46" i="108"/>
  <c r="O46" i="108"/>
  <c r="N46" i="108"/>
  <c r="M46" i="108"/>
  <c r="L46" i="108"/>
  <c r="K46" i="108"/>
  <c r="J46" i="108"/>
  <c r="I46" i="108"/>
  <c r="H46" i="108"/>
  <c r="G46" i="108"/>
  <c r="F46" i="108"/>
  <c r="E46" i="108"/>
  <c r="Q42" i="108"/>
  <c r="V42" i="108" s="1"/>
  <c r="Q41" i="108"/>
  <c r="V41" i="108" s="1"/>
  <c r="Q40" i="108"/>
  <c r="V40" i="108" s="1"/>
  <c r="Q39" i="108"/>
  <c r="V39" i="108" s="1"/>
  <c r="Q38" i="108"/>
  <c r="V38" i="108" s="1"/>
  <c r="Q37" i="108"/>
  <c r="V37" i="108" s="1"/>
  <c r="Q36" i="108"/>
  <c r="V36" i="108" s="1"/>
  <c r="Q35" i="108"/>
  <c r="V35" i="108" s="1"/>
  <c r="Q24" i="108"/>
  <c r="V24" i="108" s="1"/>
  <c r="Q23" i="108"/>
  <c r="V23" i="108" s="1"/>
  <c r="Q22" i="108"/>
  <c r="V22" i="108" s="1"/>
  <c r="Q21" i="108"/>
  <c r="V21" i="108" s="1"/>
  <c r="Q20" i="108"/>
  <c r="V20" i="108" s="1"/>
  <c r="Q19" i="108"/>
  <c r="V19" i="108" s="1"/>
  <c r="Q18" i="108"/>
  <c r="V18" i="108" s="1"/>
  <c r="Q17" i="108"/>
  <c r="V17" i="108" s="1"/>
  <c r="D5" i="108"/>
  <c r="D4" i="108"/>
  <c r="Q118" i="144"/>
  <c r="P114" i="144"/>
  <c r="O114" i="144"/>
  <c r="N114" i="144"/>
  <c r="M114" i="144"/>
  <c r="L114" i="144"/>
  <c r="K114" i="144"/>
  <c r="J114" i="144"/>
  <c r="I114" i="144"/>
  <c r="H114" i="144"/>
  <c r="G114" i="144"/>
  <c r="F114" i="144"/>
  <c r="E114" i="144"/>
  <c r="Q113" i="144"/>
  <c r="Q112" i="144"/>
  <c r="Q111" i="144"/>
  <c r="Q110" i="144"/>
  <c r="Q109" i="144"/>
  <c r="Q108" i="144"/>
  <c r="Q107" i="144"/>
  <c r="P105" i="144"/>
  <c r="O105" i="144"/>
  <c r="N105" i="144"/>
  <c r="M105" i="144"/>
  <c r="L105" i="144"/>
  <c r="K105" i="144"/>
  <c r="J105" i="144"/>
  <c r="I105" i="144"/>
  <c r="H105" i="144"/>
  <c r="G105" i="144"/>
  <c r="F105" i="144"/>
  <c r="E105" i="144"/>
  <c r="Q104" i="144"/>
  <c r="Q103" i="144"/>
  <c r="Q102" i="144"/>
  <c r="Q101" i="144"/>
  <c r="Q100" i="144"/>
  <c r="Q99" i="144"/>
  <c r="Q98" i="144"/>
  <c r="Q97" i="144"/>
  <c r="P95" i="144"/>
  <c r="O95" i="144"/>
  <c r="N95" i="144"/>
  <c r="M95" i="144"/>
  <c r="L95" i="144"/>
  <c r="K95" i="144"/>
  <c r="J95" i="144"/>
  <c r="I95" i="144"/>
  <c r="H95" i="144"/>
  <c r="G95" i="144"/>
  <c r="F95" i="144"/>
  <c r="E95" i="144"/>
  <c r="Q94" i="144"/>
  <c r="Q93" i="144"/>
  <c r="Q92" i="144"/>
  <c r="Q91" i="144"/>
  <c r="Q90" i="144"/>
  <c r="P88" i="144"/>
  <c r="O88" i="144"/>
  <c r="N88" i="144"/>
  <c r="M88" i="144"/>
  <c r="L88" i="144"/>
  <c r="K88" i="144"/>
  <c r="J88" i="144"/>
  <c r="I88" i="144"/>
  <c r="H88" i="144"/>
  <c r="G88" i="144"/>
  <c r="F88" i="144"/>
  <c r="E88" i="144"/>
  <c r="Q87" i="144"/>
  <c r="Q86" i="144"/>
  <c r="Q80" i="144"/>
  <c r="Q79" i="144"/>
  <c r="Q78" i="144"/>
  <c r="Q77" i="144"/>
  <c r="Q76" i="144"/>
  <c r="Q75" i="144"/>
  <c r="Q74" i="144"/>
  <c r="Q73" i="144"/>
  <c r="Q72" i="144"/>
  <c r="Q71" i="144"/>
  <c r="Q70" i="144"/>
  <c r="Q68" i="144"/>
  <c r="Q67" i="144"/>
  <c r="Q66" i="144"/>
  <c r="Q65" i="144"/>
  <c r="Q64" i="144"/>
  <c r="Q63" i="144"/>
  <c r="Q62" i="144"/>
  <c r="Q61" i="144"/>
  <c r="Q60" i="144"/>
  <c r="Q59" i="144"/>
  <c r="Q58" i="144"/>
  <c r="Q57" i="144"/>
  <c r="Q56" i="144"/>
  <c r="Q55" i="144"/>
  <c r="Q54" i="144"/>
  <c r="Q53" i="144"/>
  <c r="Q52" i="144"/>
  <c r="Q51" i="144"/>
  <c r="Q50" i="144"/>
  <c r="Q49" i="144"/>
  <c r="Q48" i="144"/>
  <c r="Q47" i="144"/>
  <c r="Q46" i="144"/>
  <c r="Q45" i="144"/>
  <c r="Q44" i="144"/>
  <c r="Q43" i="144"/>
  <c r="Q42" i="144"/>
  <c r="Q41" i="144"/>
  <c r="Q40" i="144"/>
  <c r="Q39" i="144"/>
  <c r="Q38" i="144"/>
  <c r="Q37" i="144"/>
  <c r="Q36" i="144"/>
  <c r="Q35" i="144"/>
  <c r="Q34" i="144"/>
  <c r="Q33" i="144"/>
  <c r="Q32" i="144"/>
  <c r="Q31" i="144"/>
  <c r="Q30" i="144"/>
  <c r="Q29" i="144"/>
  <c r="Q28" i="144"/>
  <c r="Q27" i="144"/>
  <c r="Q26" i="144"/>
  <c r="Q25" i="144"/>
  <c r="Q24" i="144"/>
  <c r="Q23" i="144"/>
  <c r="Q22" i="144"/>
  <c r="Q21" i="144"/>
  <c r="Q20" i="144"/>
  <c r="Q19" i="144"/>
  <c r="Q18" i="144"/>
  <c r="Q17" i="144"/>
  <c r="Q16" i="144"/>
  <c r="Q15" i="144"/>
  <c r="Q14" i="144"/>
  <c r="N159" i="132"/>
  <c r="K159" i="132"/>
  <c r="J159" i="132"/>
  <c r="F159" i="132"/>
  <c r="E159" i="132"/>
  <c r="P114" i="131"/>
  <c r="O114" i="131"/>
  <c r="N114" i="131"/>
  <c r="M114" i="131"/>
  <c r="L114" i="131"/>
  <c r="K114" i="131"/>
  <c r="J114" i="131"/>
  <c r="I114" i="131"/>
  <c r="H114" i="131"/>
  <c r="G114" i="131"/>
  <c r="F114" i="131"/>
  <c r="E114" i="131"/>
  <c r="Q113" i="131"/>
  <c r="Q112" i="131"/>
  <c r="Q111" i="131"/>
  <c r="T111" i="131" s="1"/>
  <c r="Q110" i="131"/>
  <c r="Q109" i="131"/>
  <c r="Q108" i="131"/>
  <c r="Q107" i="131"/>
  <c r="P105" i="131"/>
  <c r="O105" i="131"/>
  <c r="N105" i="131"/>
  <c r="M105" i="131"/>
  <c r="L105" i="131"/>
  <c r="K105" i="131"/>
  <c r="J105" i="131"/>
  <c r="I105" i="131"/>
  <c r="H105" i="131"/>
  <c r="G105" i="131"/>
  <c r="F105" i="131"/>
  <c r="E105" i="131"/>
  <c r="Q104" i="131"/>
  <c r="Q103" i="131"/>
  <c r="Q102" i="131"/>
  <c r="T102" i="131" s="1"/>
  <c r="Q101" i="131"/>
  <c r="T101" i="131" s="1"/>
  <c r="Q100" i="131"/>
  <c r="T100" i="131" s="1"/>
  <c r="Q99" i="131"/>
  <c r="T99" i="131" s="1"/>
  <c r="Q98" i="131"/>
  <c r="T98" i="131" s="1"/>
  <c r="Q97" i="131"/>
  <c r="P95" i="131"/>
  <c r="O95" i="131"/>
  <c r="N95" i="131"/>
  <c r="M95" i="131"/>
  <c r="L95" i="131"/>
  <c r="K95" i="131"/>
  <c r="J95" i="131"/>
  <c r="I95" i="131"/>
  <c r="H95" i="131"/>
  <c r="G95" i="131"/>
  <c r="F95" i="131"/>
  <c r="E95" i="131"/>
  <c r="Q94" i="131"/>
  <c r="T94" i="131" s="1"/>
  <c r="Q93" i="131"/>
  <c r="T93" i="131" s="1"/>
  <c r="Q92" i="131"/>
  <c r="T92" i="131" s="1"/>
  <c r="Q91" i="131"/>
  <c r="T91" i="131" s="1"/>
  <c r="Q90" i="131"/>
  <c r="T90" i="131" s="1"/>
  <c r="P88" i="131"/>
  <c r="O88" i="131"/>
  <c r="N88" i="131"/>
  <c r="M88" i="131"/>
  <c r="L88" i="131"/>
  <c r="K88" i="131"/>
  <c r="J88" i="131"/>
  <c r="I88" i="131"/>
  <c r="H88" i="131"/>
  <c r="G88" i="131"/>
  <c r="F88" i="131"/>
  <c r="E88" i="131"/>
  <c r="Q87" i="131"/>
  <c r="T87" i="131" s="1"/>
  <c r="Q86" i="131"/>
  <c r="Q80" i="131"/>
  <c r="T80" i="131" s="1"/>
  <c r="Q79" i="131"/>
  <c r="T79" i="131" s="1"/>
  <c r="Q78" i="131"/>
  <c r="T78" i="131" s="1"/>
  <c r="Q77" i="131"/>
  <c r="T77" i="131" s="1"/>
  <c r="Q76" i="131"/>
  <c r="T76" i="131" s="1"/>
  <c r="Q75" i="131"/>
  <c r="T75" i="131" s="1"/>
  <c r="Q74" i="131"/>
  <c r="T74" i="131" s="1"/>
  <c r="Q73" i="131"/>
  <c r="T73" i="131" s="1"/>
  <c r="Q72" i="131"/>
  <c r="T72" i="131" s="1"/>
  <c r="Q71" i="131"/>
  <c r="T71" i="131" s="1"/>
  <c r="Q70" i="131"/>
  <c r="T70" i="131" s="1"/>
  <c r="Q68" i="131"/>
  <c r="T68" i="131" s="1"/>
  <c r="Q67" i="131"/>
  <c r="T67" i="131" s="1"/>
  <c r="Q66" i="131"/>
  <c r="T66" i="131" s="1"/>
  <c r="Q65" i="131"/>
  <c r="T65" i="131" s="1"/>
  <c r="Q64" i="131"/>
  <c r="T64" i="131" s="1"/>
  <c r="Q63" i="131"/>
  <c r="T63" i="131" s="1"/>
  <c r="Q62" i="131"/>
  <c r="T62" i="131" s="1"/>
  <c r="Q61" i="131"/>
  <c r="T61" i="131" s="1"/>
  <c r="Q60" i="131"/>
  <c r="T60" i="131" s="1"/>
  <c r="Q59" i="131"/>
  <c r="T59" i="131" s="1"/>
  <c r="Q58" i="131"/>
  <c r="T58" i="131" s="1"/>
  <c r="Q57" i="131"/>
  <c r="T57" i="131" s="1"/>
  <c r="Q56" i="131"/>
  <c r="T56" i="131" s="1"/>
  <c r="Q55" i="131"/>
  <c r="T55" i="131" s="1"/>
  <c r="Q54" i="131"/>
  <c r="T54" i="131" s="1"/>
  <c r="Q53" i="131"/>
  <c r="T53" i="131" s="1"/>
  <c r="Q52" i="131"/>
  <c r="T52" i="131" s="1"/>
  <c r="Q51" i="131"/>
  <c r="T51" i="131" s="1"/>
  <c r="Q50" i="131"/>
  <c r="T50" i="131" s="1"/>
  <c r="Q49" i="131"/>
  <c r="T49" i="131" s="1"/>
  <c r="Q48" i="131"/>
  <c r="T48" i="131" s="1"/>
  <c r="Q47" i="131"/>
  <c r="T47" i="131" s="1"/>
  <c r="Q46" i="131"/>
  <c r="T46" i="131" s="1"/>
  <c r="Q45" i="131"/>
  <c r="T45" i="131" s="1"/>
  <c r="Q44" i="131"/>
  <c r="T44" i="131" s="1"/>
  <c r="Q43" i="131"/>
  <c r="T43" i="131" s="1"/>
  <c r="Q42" i="131"/>
  <c r="T42" i="131" s="1"/>
  <c r="Q41" i="131"/>
  <c r="T41" i="131" s="1"/>
  <c r="Q40" i="131"/>
  <c r="T40" i="131" s="1"/>
  <c r="Q39" i="131"/>
  <c r="T39" i="131" s="1"/>
  <c r="Q38" i="131"/>
  <c r="T38" i="131" s="1"/>
  <c r="Q37" i="131"/>
  <c r="T37" i="131" s="1"/>
  <c r="Q36" i="131"/>
  <c r="T36" i="131" s="1"/>
  <c r="Q35" i="131"/>
  <c r="T35" i="131" s="1"/>
  <c r="Q34" i="131"/>
  <c r="T34" i="131" s="1"/>
  <c r="Q33" i="131"/>
  <c r="T33" i="131" s="1"/>
  <c r="Q32" i="131"/>
  <c r="T32" i="131" s="1"/>
  <c r="Q31" i="131"/>
  <c r="T31" i="131" s="1"/>
  <c r="Q30" i="131"/>
  <c r="T30" i="131" s="1"/>
  <c r="Q29" i="131"/>
  <c r="T29" i="131" s="1"/>
  <c r="Q28" i="131"/>
  <c r="T28" i="131" s="1"/>
  <c r="Q27" i="131"/>
  <c r="T27" i="131" s="1"/>
  <c r="Q26" i="131"/>
  <c r="T26" i="131" s="1"/>
  <c r="Q25" i="131"/>
  <c r="T25" i="131" s="1"/>
  <c r="Q24" i="131"/>
  <c r="T24" i="131" s="1"/>
  <c r="Q23" i="131"/>
  <c r="T23" i="131" s="1"/>
  <c r="Q22" i="131"/>
  <c r="T22" i="131" s="1"/>
  <c r="Q21" i="131"/>
  <c r="T21" i="131" s="1"/>
  <c r="Q20" i="131"/>
  <c r="T20" i="131" s="1"/>
  <c r="Q19" i="131"/>
  <c r="T19" i="131" s="1"/>
  <c r="Q18" i="131"/>
  <c r="T18" i="131" s="1"/>
  <c r="Q17" i="131"/>
  <c r="T17" i="131" s="1"/>
  <c r="Q16" i="131"/>
  <c r="T16" i="131" s="1"/>
  <c r="Q15" i="131"/>
  <c r="T15" i="131" s="1"/>
  <c r="Q14" i="131"/>
  <c r="T14" i="131" s="1"/>
  <c r="D5" i="131"/>
  <c r="D4" i="131"/>
  <c r="T120" i="130"/>
  <c r="P116" i="130"/>
  <c r="O116" i="130"/>
  <c r="N116" i="130"/>
  <c r="M116" i="130"/>
  <c r="L116" i="130"/>
  <c r="K116" i="130"/>
  <c r="J116" i="130"/>
  <c r="I116" i="130"/>
  <c r="H116" i="130"/>
  <c r="G116" i="130"/>
  <c r="F116" i="130"/>
  <c r="Q115" i="130"/>
  <c r="T115" i="130" s="1"/>
  <c r="Q114" i="130"/>
  <c r="T114" i="130" s="1"/>
  <c r="Q113" i="130"/>
  <c r="T113" i="130" s="1"/>
  <c r="Q112" i="130"/>
  <c r="Q111" i="130"/>
  <c r="Q110" i="130"/>
  <c r="Q109" i="130"/>
  <c r="Q106" i="130"/>
  <c r="Q105" i="130"/>
  <c r="Q104" i="130"/>
  <c r="T104" i="130" s="1"/>
  <c r="Q103" i="130"/>
  <c r="T103" i="130" s="1"/>
  <c r="Q102" i="130"/>
  <c r="T102" i="130" s="1"/>
  <c r="Q101" i="130"/>
  <c r="T101" i="130" s="1"/>
  <c r="Q100" i="130"/>
  <c r="Q99" i="130"/>
  <c r="T99" i="130" s="1"/>
  <c r="Q96" i="130"/>
  <c r="T96" i="130" s="1"/>
  <c r="Q93" i="130"/>
  <c r="T93" i="130" s="1"/>
  <c r="Q92" i="130"/>
  <c r="Q91" i="130"/>
  <c r="T91" i="130" s="1"/>
  <c r="Q87" i="130"/>
  <c r="Q86" i="130"/>
  <c r="Q80" i="130"/>
  <c r="T80" i="130" s="1"/>
  <c r="Q79" i="130"/>
  <c r="T79" i="130" s="1"/>
  <c r="Q78" i="130"/>
  <c r="T78" i="130" s="1"/>
  <c r="Q77" i="130"/>
  <c r="T77" i="130" s="1"/>
  <c r="Q76" i="130"/>
  <c r="T76" i="130" s="1"/>
  <c r="Q75" i="130"/>
  <c r="T75" i="130" s="1"/>
  <c r="Q74" i="130"/>
  <c r="T74" i="130" s="1"/>
  <c r="Q73" i="130"/>
  <c r="T73" i="130" s="1"/>
  <c r="Q72" i="130"/>
  <c r="T72" i="130" s="1"/>
  <c r="Q71" i="130"/>
  <c r="T71" i="130" s="1"/>
  <c r="Q70" i="130"/>
  <c r="T70" i="130" s="1"/>
  <c r="Q68" i="130"/>
  <c r="T68" i="130" s="1"/>
  <c r="Q67" i="130"/>
  <c r="Q66" i="130"/>
  <c r="T66" i="130" s="1"/>
  <c r="Q65" i="130"/>
  <c r="T65" i="130" s="1"/>
  <c r="Q64" i="130"/>
  <c r="T64" i="130" s="1"/>
  <c r="Q63" i="130"/>
  <c r="T63" i="130" s="1"/>
  <c r="Q62" i="130"/>
  <c r="T62" i="130" s="1"/>
  <c r="Q61" i="130"/>
  <c r="T61" i="130" s="1"/>
  <c r="Q60" i="130"/>
  <c r="T60" i="130" s="1"/>
  <c r="Q59" i="130"/>
  <c r="T59" i="130" s="1"/>
  <c r="Q58" i="130"/>
  <c r="T58" i="130" s="1"/>
  <c r="Q57" i="130"/>
  <c r="T57" i="130" s="1"/>
  <c r="Q56" i="130"/>
  <c r="T56" i="130" s="1"/>
  <c r="Q55" i="130"/>
  <c r="T55" i="130" s="1"/>
  <c r="Q54" i="130"/>
  <c r="T54" i="130" s="1"/>
  <c r="Q53" i="130"/>
  <c r="T53" i="130" s="1"/>
  <c r="Q52" i="130"/>
  <c r="T52" i="130" s="1"/>
  <c r="Q51" i="130"/>
  <c r="T51" i="130" s="1"/>
  <c r="Q50" i="130"/>
  <c r="T50" i="130" s="1"/>
  <c r="Q49" i="130"/>
  <c r="T49" i="130" s="1"/>
  <c r="Q48" i="130"/>
  <c r="T48" i="130" s="1"/>
  <c r="Q47" i="130"/>
  <c r="Q46" i="130"/>
  <c r="T46" i="130" s="1"/>
  <c r="Q45" i="130"/>
  <c r="T45" i="130" s="1"/>
  <c r="Q44" i="130"/>
  <c r="T44" i="130" s="1"/>
  <c r="T43" i="130"/>
  <c r="T41" i="130"/>
  <c r="T40" i="130"/>
  <c r="T38" i="130"/>
  <c r="T37" i="130"/>
  <c r="Q35" i="130"/>
  <c r="T35" i="130" s="1"/>
  <c r="Q33" i="130"/>
  <c r="Q32" i="130"/>
  <c r="T32" i="130" s="1"/>
  <c r="Q31" i="130"/>
  <c r="T31" i="130" s="1"/>
  <c r="T30" i="130"/>
  <c r="T28" i="130"/>
  <c r="T27" i="130"/>
  <c r="T26" i="130"/>
  <c r="T24" i="130"/>
  <c r="T23" i="130"/>
  <c r="T20" i="130"/>
  <c r="Q17" i="130"/>
  <c r="T17" i="130" s="1"/>
  <c r="Q16" i="130"/>
  <c r="T16" i="130" s="1"/>
  <c r="Q15" i="130"/>
  <c r="T15" i="130" s="1"/>
  <c r="Q14" i="130"/>
  <c r="D5" i="130"/>
  <c r="D4" i="130"/>
  <c r="T120" i="127"/>
  <c r="P116" i="127"/>
  <c r="O116" i="127"/>
  <c r="N116" i="127"/>
  <c r="M116" i="127"/>
  <c r="L116" i="127"/>
  <c r="K116" i="127"/>
  <c r="J116" i="127"/>
  <c r="I116" i="127"/>
  <c r="H116" i="127"/>
  <c r="G116" i="127"/>
  <c r="F116" i="127"/>
  <c r="Q115" i="127"/>
  <c r="T115" i="127" s="1"/>
  <c r="Q114" i="127"/>
  <c r="Q113" i="127"/>
  <c r="T113" i="127" s="1"/>
  <c r="Q112" i="127"/>
  <c r="Q111" i="127"/>
  <c r="Q110" i="127"/>
  <c r="Q109" i="127"/>
  <c r="T102" i="127"/>
  <c r="T101" i="127"/>
  <c r="T96" i="127"/>
  <c r="T93" i="127"/>
  <c r="Q92" i="127"/>
  <c r="Q91" i="127"/>
  <c r="T91" i="127" s="1"/>
  <c r="M129" i="132"/>
  <c r="Q86" i="127"/>
  <c r="T86" i="127" s="1"/>
  <c r="Q80" i="127"/>
  <c r="Q79" i="127"/>
  <c r="T79" i="127" s="1"/>
  <c r="Q78" i="127"/>
  <c r="T78" i="127" s="1"/>
  <c r="T77" i="127"/>
  <c r="T75" i="127"/>
  <c r="Q74" i="127"/>
  <c r="T74" i="127" s="1"/>
  <c r="Q73" i="127"/>
  <c r="T73" i="127" s="1"/>
  <c r="Q72" i="127"/>
  <c r="Q71" i="127"/>
  <c r="T71" i="127" s="1"/>
  <c r="Q70" i="127"/>
  <c r="T70" i="127" s="1"/>
  <c r="Q68" i="127"/>
  <c r="Q67" i="127"/>
  <c r="T67" i="127" s="1"/>
  <c r="Q66" i="127"/>
  <c r="T66" i="127" s="1"/>
  <c r="Q65" i="127"/>
  <c r="T65" i="127" s="1"/>
  <c r="Q64" i="127"/>
  <c r="Q63" i="127"/>
  <c r="T63" i="127" s="1"/>
  <c r="Q62" i="127"/>
  <c r="T62" i="127" s="1"/>
  <c r="Q61" i="127"/>
  <c r="T61" i="127" s="1"/>
  <c r="Q60" i="127"/>
  <c r="Q59" i="127"/>
  <c r="T59" i="127" s="1"/>
  <c r="Q58" i="127"/>
  <c r="T58" i="127" s="1"/>
  <c r="Q57" i="127"/>
  <c r="T57" i="127" s="1"/>
  <c r="Q56" i="127"/>
  <c r="Q54" i="127"/>
  <c r="T54" i="127" s="1"/>
  <c r="Q53" i="127"/>
  <c r="T53" i="127" s="1"/>
  <c r="Q52" i="127"/>
  <c r="Q51" i="127"/>
  <c r="T51" i="127" s="1"/>
  <c r="Q50" i="127"/>
  <c r="T50" i="127" s="1"/>
  <c r="Q49" i="127"/>
  <c r="T49" i="127" s="1"/>
  <c r="Q48" i="127"/>
  <c r="Q47" i="127"/>
  <c r="T47" i="127" s="1"/>
  <c r="Q46" i="127"/>
  <c r="T46" i="127" s="1"/>
  <c r="Q45" i="127"/>
  <c r="T45" i="127" s="1"/>
  <c r="Q44" i="127"/>
  <c r="Q43" i="127"/>
  <c r="T43" i="127" s="1"/>
  <c r="Q41" i="127"/>
  <c r="T41" i="127" s="1"/>
  <c r="Q40" i="127"/>
  <c r="Q39" i="127"/>
  <c r="T39" i="127" s="1"/>
  <c r="Q38" i="127"/>
  <c r="T38" i="127" s="1"/>
  <c r="Q37" i="127"/>
  <c r="T37" i="127" s="1"/>
  <c r="Q36" i="127"/>
  <c r="Q35" i="127"/>
  <c r="T35" i="127" s="1"/>
  <c r="Q34" i="127"/>
  <c r="T34" i="127" s="1"/>
  <c r="Q33" i="127"/>
  <c r="T33" i="127" s="1"/>
  <c r="Q32" i="127"/>
  <c r="Q31" i="127"/>
  <c r="T31" i="127" s="1"/>
  <c r="Q30" i="127"/>
  <c r="T30" i="127" s="1"/>
  <c r="Q29" i="127"/>
  <c r="T29" i="127" s="1"/>
  <c r="Q28" i="127"/>
  <c r="Q27" i="127"/>
  <c r="T27" i="127" s="1"/>
  <c r="Q26" i="127"/>
  <c r="T26" i="127" s="1"/>
  <c r="Q25" i="127"/>
  <c r="T25" i="127" s="1"/>
  <c r="Q23" i="127"/>
  <c r="T23" i="127" s="1"/>
  <c r="Q22" i="127"/>
  <c r="Q21" i="127"/>
  <c r="Q20" i="127"/>
  <c r="T20" i="127" s="1"/>
  <c r="Q19" i="127"/>
  <c r="T19" i="127" s="1"/>
  <c r="Q18" i="127"/>
  <c r="T18" i="127" s="1"/>
  <c r="Q16" i="127"/>
  <c r="T16" i="127" s="1"/>
  <c r="Q15" i="127"/>
  <c r="T15" i="127" s="1"/>
  <c r="D5" i="127"/>
  <c r="D4" i="127"/>
  <c r="P154" i="132"/>
  <c r="O154" i="132"/>
  <c r="N154" i="132"/>
  <c r="M154" i="132"/>
  <c r="L154" i="132"/>
  <c r="K154" i="132"/>
  <c r="J154" i="132"/>
  <c r="I154" i="132"/>
  <c r="H154" i="132"/>
  <c r="G154" i="132"/>
  <c r="F154" i="132"/>
  <c r="E154" i="132"/>
  <c r="P153" i="132"/>
  <c r="O153" i="132"/>
  <c r="N153" i="132"/>
  <c r="M153" i="132"/>
  <c r="L153" i="132"/>
  <c r="K153" i="132"/>
  <c r="J153" i="132"/>
  <c r="I153" i="132"/>
  <c r="H153" i="132"/>
  <c r="G153" i="132"/>
  <c r="F153" i="132"/>
  <c r="E153" i="132"/>
  <c r="P152" i="132"/>
  <c r="O152" i="132"/>
  <c r="N152" i="132"/>
  <c r="M152" i="132"/>
  <c r="L152" i="132"/>
  <c r="K152" i="132"/>
  <c r="J152" i="132"/>
  <c r="I152" i="132"/>
  <c r="H152" i="132"/>
  <c r="G152" i="132"/>
  <c r="F152" i="132"/>
  <c r="E152" i="132"/>
  <c r="P151" i="132"/>
  <c r="O151" i="132"/>
  <c r="N151" i="132"/>
  <c r="M151" i="132"/>
  <c r="L151" i="132"/>
  <c r="K151" i="132"/>
  <c r="J151" i="132"/>
  <c r="I151" i="132"/>
  <c r="H151" i="132"/>
  <c r="G151" i="132"/>
  <c r="F151" i="132"/>
  <c r="E151" i="132"/>
  <c r="P150" i="132"/>
  <c r="O150" i="132"/>
  <c r="N150" i="132"/>
  <c r="M150" i="132"/>
  <c r="L150" i="132"/>
  <c r="K150" i="132"/>
  <c r="J150" i="132"/>
  <c r="I150" i="132"/>
  <c r="H150" i="132"/>
  <c r="G150" i="132"/>
  <c r="F150" i="132"/>
  <c r="E150" i="132"/>
  <c r="P149" i="132"/>
  <c r="O149" i="132"/>
  <c r="N149" i="132"/>
  <c r="M149" i="132"/>
  <c r="L149" i="132"/>
  <c r="K149" i="132"/>
  <c r="J149" i="132"/>
  <c r="I149" i="132"/>
  <c r="H149" i="132"/>
  <c r="G149" i="132"/>
  <c r="F149" i="132"/>
  <c r="E149" i="132"/>
  <c r="P148" i="132"/>
  <c r="O148" i="132"/>
  <c r="N148" i="132"/>
  <c r="M148" i="132"/>
  <c r="L148" i="132"/>
  <c r="K148" i="132"/>
  <c r="J148" i="132"/>
  <c r="I148" i="132"/>
  <c r="H148" i="132"/>
  <c r="G148" i="132"/>
  <c r="F148" i="132"/>
  <c r="E148" i="132"/>
  <c r="P141" i="132"/>
  <c r="O141" i="132"/>
  <c r="N141" i="132"/>
  <c r="M141" i="132"/>
  <c r="L141" i="132"/>
  <c r="K141" i="132"/>
  <c r="J141" i="132"/>
  <c r="I141" i="132"/>
  <c r="H141" i="132"/>
  <c r="G141" i="132"/>
  <c r="F141" i="132"/>
  <c r="E141" i="132"/>
  <c r="P140" i="132"/>
  <c r="O140" i="132"/>
  <c r="N140" i="132"/>
  <c r="M140" i="132"/>
  <c r="L140" i="132"/>
  <c r="K140" i="132"/>
  <c r="J140" i="132"/>
  <c r="I140" i="132"/>
  <c r="H140" i="132"/>
  <c r="G140" i="132"/>
  <c r="F140" i="132"/>
  <c r="E140" i="132"/>
  <c r="P139" i="132"/>
  <c r="O139" i="132"/>
  <c r="N139" i="132"/>
  <c r="M139" i="132"/>
  <c r="L139" i="132"/>
  <c r="K139" i="132"/>
  <c r="J139" i="132"/>
  <c r="I139" i="132"/>
  <c r="H139" i="132"/>
  <c r="G139" i="132"/>
  <c r="F139" i="132"/>
  <c r="P138" i="132"/>
  <c r="O138" i="132"/>
  <c r="N138" i="132"/>
  <c r="M138" i="132"/>
  <c r="L138" i="132"/>
  <c r="K138" i="132"/>
  <c r="J138" i="132"/>
  <c r="I138" i="132"/>
  <c r="H138" i="132"/>
  <c r="G138" i="132"/>
  <c r="F138" i="132"/>
  <c r="E138" i="132"/>
  <c r="P129" i="132"/>
  <c r="O129" i="132"/>
  <c r="L129" i="132"/>
  <c r="K129" i="132"/>
  <c r="J129" i="132"/>
  <c r="I129" i="132"/>
  <c r="H129" i="132"/>
  <c r="G129" i="132"/>
  <c r="E129" i="132"/>
  <c r="P126" i="132"/>
  <c r="O126" i="132"/>
  <c r="N126" i="132"/>
  <c r="M126" i="132"/>
  <c r="L126" i="132"/>
  <c r="K126" i="132"/>
  <c r="J126" i="132"/>
  <c r="I126" i="132"/>
  <c r="H126" i="132"/>
  <c r="G126" i="132"/>
  <c r="F126" i="132"/>
  <c r="E126" i="132"/>
  <c r="P125" i="132"/>
  <c r="O125" i="132"/>
  <c r="N125" i="132"/>
  <c r="M125" i="132"/>
  <c r="L125" i="132"/>
  <c r="K125" i="132"/>
  <c r="J125" i="132"/>
  <c r="I125" i="132"/>
  <c r="G125" i="132"/>
  <c r="F125" i="132"/>
  <c r="E125" i="132"/>
  <c r="P124" i="132"/>
  <c r="O124" i="132"/>
  <c r="N124" i="132"/>
  <c r="M124" i="132"/>
  <c r="L124" i="132"/>
  <c r="K124" i="132"/>
  <c r="J124" i="132"/>
  <c r="I124" i="132"/>
  <c r="H124" i="132"/>
  <c r="G124" i="132"/>
  <c r="F124" i="132"/>
  <c r="E124" i="132"/>
  <c r="P123" i="132"/>
  <c r="O123" i="132"/>
  <c r="N123" i="132"/>
  <c r="M123" i="132"/>
  <c r="L123" i="132"/>
  <c r="K123" i="132"/>
  <c r="J123" i="132"/>
  <c r="I123" i="132"/>
  <c r="H123" i="132"/>
  <c r="G123" i="132"/>
  <c r="F123" i="132"/>
  <c r="E123" i="132"/>
  <c r="Q110" i="132"/>
  <c r="Q109" i="132"/>
  <c r="Q107" i="132"/>
  <c r="Q26" i="132"/>
  <c r="Q23" i="132"/>
  <c r="Q19" i="132"/>
  <c r="P17" i="132"/>
  <c r="P18" i="132" s="1"/>
  <c r="O17" i="132"/>
  <c r="O18" i="132" s="1"/>
  <c r="N17" i="132"/>
  <c r="N18" i="132" s="1"/>
  <c r="M17" i="132"/>
  <c r="M18" i="132" s="1"/>
  <c r="L17" i="132"/>
  <c r="L18" i="132" s="1"/>
  <c r="K17" i="132"/>
  <c r="K18" i="132" s="1"/>
  <c r="J17" i="132"/>
  <c r="J18" i="132" s="1"/>
  <c r="I17" i="132"/>
  <c r="I18" i="132" s="1"/>
  <c r="H17" i="132"/>
  <c r="H18" i="132" s="1"/>
  <c r="G17" i="132"/>
  <c r="G18" i="132" s="1"/>
  <c r="F17" i="132"/>
  <c r="F18" i="132" s="1"/>
  <c r="E17" i="132"/>
  <c r="E18" i="132" s="1"/>
  <c r="Q15" i="132"/>
  <c r="Q12" i="132"/>
  <c r="D5" i="132"/>
  <c r="D4" i="132"/>
  <c r="P64" i="18"/>
  <c r="O64" i="18"/>
  <c r="N64" i="18"/>
  <c r="M64" i="18"/>
  <c r="L64" i="18"/>
  <c r="K64" i="18"/>
  <c r="J64" i="18"/>
  <c r="I64" i="18"/>
  <c r="H64" i="18"/>
  <c r="G64" i="18"/>
  <c r="F64" i="18"/>
  <c r="E64" i="18"/>
  <c r="R61" i="18"/>
  <c r="R62" i="18" s="1"/>
  <c r="Q56" i="18"/>
  <c r="Q50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Q14" i="18"/>
  <c r="C11" i="59"/>
  <c r="C13" i="59"/>
  <c r="C8" i="59"/>
  <c r="H201" i="108" l="1"/>
  <c r="I201" i="108"/>
  <c r="H42" i="123"/>
  <c r="H81" i="123"/>
  <c r="H106" i="123"/>
  <c r="H77" i="123"/>
  <c r="P42" i="123"/>
  <c r="P81" i="123"/>
  <c r="P106" i="123"/>
  <c r="P77" i="123"/>
  <c r="H56" i="125"/>
  <c r="H42" i="125"/>
  <c r="H59" i="125"/>
  <c r="P56" i="125"/>
  <c r="P42" i="125"/>
  <c r="P59" i="125"/>
  <c r="K78" i="121"/>
  <c r="K43" i="121"/>
  <c r="K75" i="121"/>
  <c r="F75" i="121"/>
  <c r="F78" i="121"/>
  <c r="F43" i="121"/>
  <c r="I81" i="123"/>
  <c r="I106" i="123"/>
  <c r="I77" i="123"/>
  <c r="I42" i="123"/>
  <c r="I59" i="125"/>
  <c r="I56" i="125"/>
  <c r="I42" i="125"/>
  <c r="L43" i="121"/>
  <c r="L78" i="121"/>
  <c r="L75" i="121"/>
  <c r="K106" i="123"/>
  <c r="K77" i="123"/>
  <c r="K42" i="123"/>
  <c r="K81" i="123"/>
  <c r="J56" i="125"/>
  <c r="J59" i="125"/>
  <c r="J42" i="125"/>
  <c r="M78" i="121"/>
  <c r="M75" i="121"/>
  <c r="M43" i="121"/>
  <c r="L106" i="123"/>
  <c r="L77" i="123"/>
  <c r="L42" i="123"/>
  <c r="L81" i="123"/>
  <c r="L59" i="125"/>
  <c r="L42" i="125"/>
  <c r="L56" i="125"/>
  <c r="G75" i="121"/>
  <c r="G43" i="121"/>
  <c r="G78" i="121"/>
  <c r="O81" i="121"/>
  <c r="O78" i="121"/>
  <c r="O43" i="121"/>
  <c r="O75" i="121"/>
  <c r="J106" i="123"/>
  <c r="J77" i="123"/>
  <c r="J81" i="123"/>
  <c r="J42" i="123"/>
  <c r="E81" i="123"/>
  <c r="E42" i="123"/>
  <c r="E106" i="123"/>
  <c r="E77" i="123"/>
  <c r="M106" i="123"/>
  <c r="M77" i="123"/>
  <c r="M42" i="123"/>
  <c r="M81" i="123"/>
  <c r="E56" i="125"/>
  <c r="E59" i="125"/>
  <c r="E42" i="125"/>
  <c r="M59" i="125"/>
  <c r="M42" i="125"/>
  <c r="M56" i="125"/>
  <c r="H78" i="121"/>
  <c r="H43" i="121"/>
  <c r="H75" i="121"/>
  <c r="H81" i="121"/>
  <c r="P81" i="121"/>
  <c r="P78" i="121"/>
  <c r="P43" i="121"/>
  <c r="P75" i="121"/>
  <c r="E78" i="121"/>
  <c r="E43" i="121"/>
  <c r="E75" i="121"/>
  <c r="F81" i="123"/>
  <c r="F42" i="123"/>
  <c r="F106" i="123"/>
  <c r="F77" i="123"/>
  <c r="N81" i="123"/>
  <c r="N42" i="123"/>
  <c r="N77" i="123"/>
  <c r="N106" i="123"/>
  <c r="F59" i="125"/>
  <c r="F42" i="125"/>
  <c r="F56" i="125"/>
  <c r="N59" i="125"/>
  <c r="N42" i="125"/>
  <c r="N56" i="125"/>
  <c r="I78" i="121"/>
  <c r="I75" i="121"/>
  <c r="I43" i="121"/>
  <c r="I81" i="121"/>
  <c r="K56" i="125"/>
  <c r="K59" i="125"/>
  <c r="K42" i="125"/>
  <c r="N75" i="121"/>
  <c r="N81" i="121"/>
  <c r="N78" i="121"/>
  <c r="N43" i="121"/>
  <c r="G81" i="123"/>
  <c r="G42" i="123"/>
  <c r="G77" i="123"/>
  <c r="G106" i="123"/>
  <c r="O81" i="123"/>
  <c r="O42" i="123"/>
  <c r="O106" i="123"/>
  <c r="O77" i="123"/>
  <c r="G42" i="125"/>
  <c r="G59" i="125"/>
  <c r="G56" i="125"/>
  <c r="O59" i="125"/>
  <c r="O42" i="125"/>
  <c r="O56" i="125"/>
  <c r="J75" i="121"/>
  <c r="J78" i="121"/>
  <c r="J43" i="121"/>
  <c r="J81" i="121"/>
  <c r="M77" i="122"/>
  <c r="M54" i="122"/>
  <c r="M59" i="122"/>
  <c r="M46" i="122"/>
  <c r="P77" i="122"/>
  <c r="P54" i="122"/>
  <c r="P59" i="122"/>
  <c r="P46" i="122"/>
  <c r="N77" i="122"/>
  <c r="N54" i="122"/>
  <c r="N59" i="122"/>
  <c r="N46" i="122"/>
  <c r="O77" i="122"/>
  <c r="O54" i="122"/>
  <c r="O46" i="122"/>
  <c r="O59" i="122"/>
  <c r="L46" i="122"/>
  <c r="L77" i="122"/>
  <c r="L54" i="122"/>
  <c r="L59" i="122"/>
  <c r="F59" i="122"/>
  <c r="F46" i="122"/>
  <c r="F77" i="122"/>
  <c r="F54" i="122"/>
  <c r="G59" i="122"/>
  <c r="G46" i="122"/>
  <c r="G77" i="122"/>
  <c r="G54" i="122"/>
  <c r="H59" i="122"/>
  <c r="H46" i="122"/>
  <c r="H77" i="122"/>
  <c r="H54" i="122"/>
  <c r="K46" i="122"/>
  <c r="K77" i="122"/>
  <c r="K54" i="122"/>
  <c r="K59" i="122"/>
  <c r="I59" i="122"/>
  <c r="I46" i="122"/>
  <c r="I77" i="122"/>
  <c r="I54" i="122"/>
  <c r="J59" i="122"/>
  <c r="J46" i="122"/>
  <c r="J77" i="122"/>
  <c r="J54" i="122"/>
  <c r="G201" i="108"/>
  <c r="U15" i="154"/>
  <c r="M200" i="108"/>
  <c r="E200" i="108"/>
  <c r="G200" i="108"/>
  <c r="K201" i="108"/>
  <c r="U197" i="142"/>
  <c r="T197" i="139"/>
  <c r="L31" i="123"/>
  <c r="L27" i="123"/>
  <c r="M31" i="123"/>
  <c r="M27" i="123"/>
  <c r="M28" i="123" s="1"/>
  <c r="M131" i="147" s="1"/>
  <c r="T161" i="121"/>
  <c r="Y203" i="108"/>
  <c r="F200" i="108"/>
  <c r="N200" i="108"/>
  <c r="J201" i="108"/>
  <c r="I64" i="123"/>
  <c r="I50" i="123"/>
  <c r="I56" i="123"/>
  <c r="I46" i="123"/>
  <c r="I74" i="123"/>
  <c r="I59" i="123"/>
  <c r="I71" i="123"/>
  <c r="G31" i="123"/>
  <c r="G27" i="123"/>
  <c r="O31" i="123"/>
  <c r="O27" i="123"/>
  <c r="I74" i="125"/>
  <c r="I106" i="125"/>
  <c r="E107" i="121"/>
  <c r="M107" i="121"/>
  <c r="P71" i="123"/>
  <c r="P59" i="123"/>
  <c r="P74" i="123"/>
  <c r="P58" i="123"/>
  <c r="P64" i="123"/>
  <c r="P50" i="123"/>
  <c r="P56" i="123"/>
  <c r="P46" i="123"/>
  <c r="N31" i="123"/>
  <c r="N27" i="123"/>
  <c r="P74" i="125"/>
  <c r="P106" i="125"/>
  <c r="J56" i="123"/>
  <c r="J46" i="123"/>
  <c r="J50" i="123"/>
  <c r="J71" i="123"/>
  <c r="J59" i="123"/>
  <c r="J74" i="123"/>
  <c r="J64" i="123"/>
  <c r="H31" i="123"/>
  <c r="H34" i="123" s="1"/>
  <c r="H27" i="123"/>
  <c r="P31" i="123"/>
  <c r="P27" i="123"/>
  <c r="J106" i="125"/>
  <c r="J74" i="125"/>
  <c r="F107" i="121"/>
  <c r="N107" i="121"/>
  <c r="F31" i="123"/>
  <c r="F34" i="123" s="1"/>
  <c r="F27" i="123"/>
  <c r="G106" i="125"/>
  <c r="G74" i="125"/>
  <c r="K107" i="121"/>
  <c r="H71" i="123"/>
  <c r="H59" i="123"/>
  <c r="H64" i="123"/>
  <c r="H74" i="123"/>
  <c r="H50" i="123"/>
  <c r="H56" i="123"/>
  <c r="H46" i="123"/>
  <c r="H200" i="108"/>
  <c r="L201" i="108"/>
  <c r="K74" i="123"/>
  <c r="K64" i="123"/>
  <c r="K58" i="123"/>
  <c r="K71" i="123"/>
  <c r="K50" i="123"/>
  <c r="K59" i="123"/>
  <c r="K56" i="123"/>
  <c r="K46" i="123"/>
  <c r="K106" i="125"/>
  <c r="K74" i="125"/>
  <c r="G107" i="121"/>
  <c r="O107" i="121"/>
  <c r="F50" i="123"/>
  <c r="F56" i="123"/>
  <c r="F46" i="123"/>
  <c r="F74" i="123"/>
  <c r="F64" i="123"/>
  <c r="F71" i="123"/>
  <c r="F59" i="123"/>
  <c r="N106" i="125"/>
  <c r="N74" i="125"/>
  <c r="I31" i="123"/>
  <c r="I27" i="123"/>
  <c r="O71" i="123"/>
  <c r="O59" i="123"/>
  <c r="O74" i="123"/>
  <c r="O64" i="123"/>
  <c r="O58" i="123"/>
  <c r="O56" i="123"/>
  <c r="O46" i="123"/>
  <c r="O50" i="123"/>
  <c r="I200" i="108"/>
  <c r="M201" i="108"/>
  <c r="L74" i="123"/>
  <c r="L64" i="123"/>
  <c r="L58" i="123"/>
  <c r="L71" i="123"/>
  <c r="L46" i="123"/>
  <c r="L59" i="123"/>
  <c r="L56" i="123"/>
  <c r="L50" i="123"/>
  <c r="J31" i="123"/>
  <c r="J34" i="123" s="1"/>
  <c r="J27" i="123"/>
  <c r="L106" i="125"/>
  <c r="L74" i="125"/>
  <c r="H107" i="121"/>
  <c r="P107" i="121"/>
  <c r="N50" i="123"/>
  <c r="N74" i="123"/>
  <c r="N64" i="123"/>
  <c r="N58" i="123"/>
  <c r="N71" i="123"/>
  <c r="N59" i="123"/>
  <c r="N56" i="123"/>
  <c r="N46" i="123"/>
  <c r="F106" i="125"/>
  <c r="F74" i="125"/>
  <c r="J107" i="121"/>
  <c r="G74" i="123"/>
  <c r="G64" i="123"/>
  <c r="G71" i="123"/>
  <c r="G59" i="123"/>
  <c r="G56" i="123"/>
  <c r="G46" i="123"/>
  <c r="G50" i="123"/>
  <c r="G73" i="108" s="1"/>
  <c r="O74" i="125"/>
  <c r="O106" i="125"/>
  <c r="U117" i="147"/>
  <c r="W205" i="108"/>
  <c r="H106" i="125"/>
  <c r="H74" i="125"/>
  <c r="L107" i="121"/>
  <c r="J200" i="108"/>
  <c r="N201" i="108"/>
  <c r="E31" i="123"/>
  <c r="E27" i="123"/>
  <c r="E46" i="123"/>
  <c r="E50" i="123"/>
  <c r="E56" i="123"/>
  <c r="E71" i="123"/>
  <c r="E59" i="123"/>
  <c r="E64" i="123"/>
  <c r="E74" i="123"/>
  <c r="M56" i="123"/>
  <c r="M50" i="123"/>
  <c r="M71" i="123"/>
  <c r="M59" i="123"/>
  <c r="M46" i="123"/>
  <c r="M64" i="123"/>
  <c r="M58" i="123"/>
  <c r="M74" i="123"/>
  <c r="K31" i="123"/>
  <c r="K27" i="123"/>
  <c r="E106" i="125"/>
  <c r="E74" i="125"/>
  <c r="M74" i="125"/>
  <c r="M106" i="125"/>
  <c r="I107" i="121"/>
  <c r="F201" i="108"/>
  <c r="M84" i="81"/>
  <c r="O200" i="108"/>
  <c r="K200" i="108"/>
  <c r="L200" i="108"/>
  <c r="P200" i="108"/>
  <c r="E201" i="108"/>
  <c r="O201" i="108"/>
  <c r="P201" i="108"/>
  <c r="M146" i="108"/>
  <c r="E147" i="108"/>
  <c r="E103" i="108"/>
  <c r="E47" i="121"/>
  <c r="E60" i="121"/>
  <c r="K88" i="108"/>
  <c r="M88" i="108"/>
  <c r="H147" i="108"/>
  <c r="H103" i="108"/>
  <c r="H60" i="121"/>
  <c r="H47" i="121"/>
  <c r="P147" i="108"/>
  <c r="P103" i="108"/>
  <c r="P60" i="121"/>
  <c r="P47" i="121"/>
  <c r="L147" i="108"/>
  <c r="L60" i="121"/>
  <c r="L47" i="121"/>
  <c r="L103" i="108"/>
  <c r="F147" i="108"/>
  <c r="F47" i="121"/>
  <c r="F60" i="121"/>
  <c r="F103" i="108"/>
  <c r="O147" i="108"/>
  <c r="O60" i="121"/>
  <c r="O47" i="121"/>
  <c r="O103" i="108"/>
  <c r="H84" i="81"/>
  <c r="I147" i="108"/>
  <c r="I47" i="121"/>
  <c r="I103" i="108"/>
  <c r="I60" i="121"/>
  <c r="J84" i="81"/>
  <c r="I88" i="108"/>
  <c r="M147" i="108"/>
  <c r="M47" i="121"/>
  <c r="M60" i="121"/>
  <c r="M103" i="108"/>
  <c r="N147" i="108"/>
  <c r="N47" i="121"/>
  <c r="N60" i="121"/>
  <c r="N103" i="108"/>
  <c r="L88" i="108"/>
  <c r="G88" i="108"/>
  <c r="O88" i="108"/>
  <c r="J147" i="108"/>
  <c r="J60" i="121"/>
  <c r="J47" i="121"/>
  <c r="G147" i="108"/>
  <c r="G60" i="121"/>
  <c r="G47" i="121"/>
  <c r="G103" i="108"/>
  <c r="H88" i="108"/>
  <c r="P88" i="108"/>
  <c r="K147" i="108"/>
  <c r="K103" i="108"/>
  <c r="K47" i="121"/>
  <c r="K60" i="121"/>
  <c r="E77" i="125"/>
  <c r="E64" i="125"/>
  <c r="E81" i="125"/>
  <c r="E48" i="125"/>
  <c r="E46" i="125"/>
  <c r="F64" i="125"/>
  <c r="F77" i="125"/>
  <c r="F48" i="125"/>
  <c r="F46" i="125"/>
  <c r="F81" i="125"/>
  <c r="F104" i="108" s="1"/>
  <c r="F73" i="108"/>
  <c r="G138" i="108"/>
  <c r="G64" i="125"/>
  <c r="G48" i="125"/>
  <c r="G77" i="125"/>
  <c r="G80" i="108"/>
  <c r="G81" i="125"/>
  <c r="G46" i="125"/>
  <c r="I77" i="125"/>
  <c r="I64" i="125"/>
  <c r="I48" i="125"/>
  <c r="I46" i="125"/>
  <c r="I81" i="125"/>
  <c r="J77" i="125"/>
  <c r="J64" i="125"/>
  <c r="J48" i="125"/>
  <c r="J46" i="125"/>
  <c r="J81" i="125"/>
  <c r="K71" i="125"/>
  <c r="K77" i="125"/>
  <c r="K64" i="125"/>
  <c r="K73" i="108"/>
  <c r="K48" i="125"/>
  <c r="K46" i="125"/>
  <c r="K81" i="125"/>
  <c r="L138" i="108"/>
  <c r="L77" i="125"/>
  <c r="L64" i="125"/>
  <c r="L71" i="125"/>
  <c r="L48" i="125"/>
  <c r="L46" i="125"/>
  <c r="L81" i="125"/>
  <c r="M77" i="125"/>
  <c r="M64" i="125"/>
  <c r="M48" i="125"/>
  <c r="M46" i="125"/>
  <c r="M73" i="108"/>
  <c r="M81" i="125"/>
  <c r="M71" i="125"/>
  <c r="N77" i="125"/>
  <c r="N64" i="125"/>
  <c r="N48" i="125"/>
  <c r="N46" i="125"/>
  <c r="N81" i="125"/>
  <c r="N71" i="125"/>
  <c r="H138" i="108"/>
  <c r="H48" i="125"/>
  <c r="H77" i="125"/>
  <c r="H64" i="125"/>
  <c r="H46" i="125"/>
  <c r="H81" i="125"/>
  <c r="O138" i="108"/>
  <c r="O77" i="125"/>
  <c r="O64" i="125"/>
  <c r="O48" i="125"/>
  <c r="O46" i="125"/>
  <c r="O81" i="125"/>
  <c r="O71" i="125"/>
  <c r="P138" i="108"/>
  <c r="P77" i="125"/>
  <c r="P64" i="125"/>
  <c r="P48" i="125"/>
  <c r="P46" i="125"/>
  <c r="P81" i="125"/>
  <c r="P71" i="125"/>
  <c r="P73" i="108"/>
  <c r="J115" i="108"/>
  <c r="H115" i="108"/>
  <c r="I80" i="108"/>
  <c r="I115" i="108"/>
  <c r="K115" i="108"/>
  <c r="O115" i="108"/>
  <c r="L115" i="108"/>
  <c r="M115" i="108"/>
  <c r="P115" i="108"/>
  <c r="F129" i="108"/>
  <c r="F115" i="108"/>
  <c r="G115" i="108"/>
  <c r="Q108" i="151"/>
  <c r="T108" i="151" s="1"/>
  <c r="F84" i="81"/>
  <c r="J125" i="125"/>
  <c r="I84" i="81"/>
  <c r="G12" i="108"/>
  <c r="G27" i="122"/>
  <c r="G28" i="122" s="1"/>
  <c r="G130" i="147" s="1"/>
  <c r="J137" i="134"/>
  <c r="N84" i="81"/>
  <c r="F14" i="108"/>
  <c r="E84" i="81"/>
  <c r="J138" i="108"/>
  <c r="J136" i="132"/>
  <c r="I134" i="108"/>
  <c r="I151" i="108" s="1"/>
  <c r="K125" i="125"/>
  <c r="P136" i="132"/>
  <c r="L143" i="124"/>
  <c r="I137" i="134"/>
  <c r="L84" i="81"/>
  <c r="G135" i="108"/>
  <c r="H135" i="108"/>
  <c r="I135" i="108"/>
  <c r="Q122" i="126"/>
  <c r="T122" i="126" s="1"/>
  <c r="F135" i="108"/>
  <c r="J135" i="108"/>
  <c r="J88" i="108"/>
  <c r="K135" i="108"/>
  <c r="L135" i="108"/>
  <c r="M135" i="108"/>
  <c r="N135" i="108"/>
  <c r="N88" i="108"/>
  <c r="J36" i="81"/>
  <c r="P135" i="108"/>
  <c r="H136" i="132"/>
  <c r="O135" i="108"/>
  <c r="N115" i="108"/>
  <c r="Q117" i="138"/>
  <c r="T117" i="138" s="1"/>
  <c r="P84" i="81"/>
  <c r="K27" i="122"/>
  <c r="K28" i="122" s="1"/>
  <c r="K130" i="147" s="1"/>
  <c r="O27" i="122"/>
  <c r="O28" i="122" s="1"/>
  <c r="O130" i="147" s="1"/>
  <c r="J155" i="132"/>
  <c r="I43" i="108"/>
  <c r="J27" i="122"/>
  <c r="J28" i="122" s="1"/>
  <c r="J130" i="147" s="1"/>
  <c r="I108" i="119"/>
  <c r="L27" i="122"/>
  <c r="L28" i="122" s="1"/>
  <c r="L130" i="147" s="1"/>
  <c r="L125" i="126"/>
  <c r="G143" i="124"/>
  <c r="I136" i="132"/>
  <c r="K12" i="108"/>
  <c r="H143" i="119"/>
  <c r="P143" i="119"/>
  <c r="H143" i="124"/>
  <c r="P143" i="124"/>
  <c r="E143" i="126"/>
  <c r="L137" i="134"/>
  <c r="G143" i="119"/>
  <c r="O143" i="124"/>
  <c r="I143" i="124"/>
  <c r="E143" i="125"/>
  <c r="Q121" i="126"/>
  <c r="T121" i="126" s="1"/>
  <c r="O143" i="119"/>
  <c r="I143" i="119"/>
  <c r="K136" i="132"/>
  <c r="J143" i="119"/>
  <c r="J143" i="124"/>
  <c r="H27" i="122"/>
  <c r="H28" i="122" s="1"/>
  <c r="H130" i="147" s="1"/>
  <c r="P27" i="122"/>
  <c r="P28" i="122" s="1"/>
  <c r="P130" i="147" s="1"/>
  <c r="G137" i="134"/>
  <c r="O137" i="134"/>
  <c r="J34" i="108"/>
  <c r="G136" i="132"/>
  <c r="O136" i="132"/>
  <c r="E143" i="119"/>
  <c r="M143" i="119"/>
  <c r="E143" i="124"/>
  <c r="M143" i="124"/>
  <c r="H16" i="108"/>
  <c r="H34" i="125"/>
  <c r="O16" i="108"/>
  <c r="O34" i="125"/>
  <c r="I25" i="108"/>
  <c r="H137" i="134"/>
  <c r="P137" i="134"/>
  <c r="G123" i="152"/>
  <c r="O123" i="152"/>
  <c r="L136" i="132"/>
  <c r="F143" i="119"/>
  <c r="N143" i="119"/>
  <c r="F143" i="124"/>
  <c r="N143" i="124"/>
  <c r="P34" i="108"/>
  <c r="P32" i="125"/>
  <c r="P54" i="108" s="1"/>
  <c r="P16" i="108"/>
  <c r="H123" i="152"/>
  <c r="P123" i="152"/>
  <c r="P155" i="152"/>
  <c r="I123" i="152"/>
  <c r="P25" i="108"/>
  <c r="N27" i="122"/>
  <c r="N28" i="122" s="1"/>
  <c r="N130" i="147" s="1"/>
  <c r="E125" i="126"/>
  <c r="M125" i="126"/>
  <c r="K137" i="134"/>
  <c r="G84" i="81"/>
  <c r="O84" i="81"/>
  <c r="J123" i="152"/>
  <c r="M27" i="122"/>
  <c r="M28" i="122" s="1"/>
  <c r="M130" i="147" s="1"/>
  <c r="L146" i="108"/>
  <c r="K16" i="108"/>
  <c r="K34" i="125"/>
  <c r="E25" i="108"/>
  <c r="M25" i="108"/>
  <c r="M163" i="108" s="1"/>
  <c r="K123" i="152"/>
  <c r="E137" i="134"/>
  <c r="M137" i="134"/>
  <c r="R121" i="152"/>
  <c r="R122" i="152"/>
  <c r="L123" i="152"/>
  <c r="L16" i="108"/>
  <c r="E136" i="132"/>
  <c r="M136" i="132"/>
  <c r="O33" i="108"/>
  <c r="K143" i="119"/>
  <c r="Q123" i="123"/>
  <c r="T123" i="123" s="1"/>
  <c r="K143" i="124"/>
  <c r="I27" i="122"/>
  <c r="I28" i="122" s="1"/>
  <c r="I130" i="147" s="1"/>
  <c r="F137" i="134"/>
  <c r="N137" i="134"/>
  <c r="E123" i="152"/>
  <c r="M123" i="152"/>
  <c r="L34" i="108"/>
  <c r="L32" i="125"/>
  <c r="L54" i="108" s="1"/>
  <c r="L143" i="119"/>
  <c r="G16" i="108"/>
  <c r="I125" i="126"/>
  <c r="K84" i="81"/>
  <c r="F123" i="152"/>
  <c r="N123" i="152"/>
  <c r="L43" i="108"/>
  <c r="N25" i="108"/>
  <c r="H25" i="108"/>
  <c r="K25" i="108"/>
  <c r="Q15" i="125"/>
  <c r="T15" i="125" s="1"/>
  <c r="Q13" i="125"/>
  <c r="T13" i="125" s="1"/>
  <c r="E32" i="108"/>
  <c r="I32" i="108"/>
  <c r="J14" i="108"/>
  <c r="L14" i="108"/>
  <c r="K14" i="108"/>
  <c r="O14" i="108"/>
  <c r="Q13" i="123"/>
  <c r="T13" i="123" s="1"/>
  <c r="R128" i="150"/>
  <c r="R129" i="150"/>
  <c r="T14" i="138"/>
  <c r="R115" i="138"/>
  <c r="R116" i="138"/>
  <c r="T14" i="134"/>
  <c r="R135" i="134"/>
  <c r="R136" i="134"/>
  <c r="T105" i="136"/>
  <c r="T14" i="136"/>
  <c r="R109" i="136"/>
  <c r="R110" i="136"/>
  <c r="J31" i="108"/>
  <c r="Q17" i="132"/>
  <c r="R16" i="132" s="1"/>
  <c r="K13" i="108"/>
  <c r="K34" i="122"/>
  <c r="O13" i="108"/>
  <c r="O34" i="122"/>
  <c r="G177" i="108"/>
  <c r="K177" i="108"/>
  <c r="O177" i="108"/>
  <c r="G178" i="108"/>
  <c r="K178" i="108"/>
  <c r="O178" i="108"/>
  <c r="G179" i="108"/>
  <c r="K179" i="108"/>
  <c r="O179" i="108"/>
  <c r="G180" i="108"/>
  <c r="K180" i="108"/>
  <c r="O180" i="108"/>
  <c r="H13" i="108"/>
  <c r="H34" i="122"/>
  <c r="L13" i="108"/>
  <c r="L34" i="122"/>
  <c r="P13" i="108"/>
  <c r="P34" i="122"/>
  <c r="U14" i="81"/>
  <c r="R32" i="81"/>
  <c r="R50" i="81"/>
  <c r="U21" i="81"/>
  <c r="R57" i="81"/>
  <c r="R39" i="81"/>
  <c r="U26" i="81"/>
  <c r="R44" i="81"/>
  <c r="R62" i="81"/>
  <c r="G20" i="81"/>
  <c r="O20" i="81"/>
  <c r="E36" i="81"/>
  <c r="U17" i="81"/>
  <c r="R53" i="81"/>
  <c r="R35" i="81"/>
  <c r="U23" i="81"/>
  <c r="R41" i="81"/>
  <c r="R59" i="81"/>
  <c r="E15" i="108"/>
  <c r="K32" i="108"/>
  <c r="K34" i="108"/>
  <c r="I13" i="108"/>
  <c r="U15" i="81"/>
  <c r="R33" i="81"/>
  <c r="R51" i="81"/>
  <c r="H20" i="81"/>
  <c r="L20" i="81"/>
  <c r="P20" i="81"/>
  <c r="I15" i="108"/>
  <c r="E177" i="108"/>
  <c r="I177" i="108"/>
  <c r="M177" i="108"/>
  <c r="E178" i="108"/>
  <c r="I178" i="108"/>
  <c r="M178" i="108"/>
  <c r="E179" i="108"/>
  <c r="I179" i="108"/>
  <c r="M179" i="108"/>
  <c r="E180" i="108"/>
  <c r="I180" i="108"/>
  <c r="M180" i="108"/>
  <c r="J13" i="108"/>
  <c r="J34" i="122"/>
  <c r="U16" i="81"/>
  <c r="R34" i="81"/>
  <c r="R52" i="81"/>
  <c r="G13" i="108"/>
  <c r="F20" i="81"/>
  <c r="J20" i="81"/>
  <c r="N20" i="81"/>
  <c r="H177" i="108"/>
  <c r="L177" i="108"/>
  <c r="P177" i="108"/>
  <c r="H178" i="108"/>
  <c r="L178" i="108"/>
  <c r="P178" i="108"/>
  <c r="H179" i="108"/>
  <c r="L179" i="108"/>
  <c r="P179" i="108"/>
  <c r="H180" i="108"/>
  <c r="L180" i="108"/>
  <c r="P180" i="108"/>
  <c r="F177" i="108"/>
  <c r="J177" i="108"/>
  <c r="N177" i="108"/>
  <c r="F178" i="108"/>
  <c r="J178" i="108"/>
  <c r="N178" i="108"/>
  <c r="F179" i="108"/>
  <c r="J179" i="108"/>
  <c r="N179" i="108"/>
  <c r="F180" i="108"/>
  <c r="J180" i="108"/>
  <c r="N180" i="108"/>
  <c r="P134" i="108"/>
  <c r="P151" i="108" s="1"/>
  <c r="M36" i="81"/>
  <c r="J194" i="83"/>
  <c r="P108" i="119"/>
  <c r="H155" i="152"/>
  <c r="Q23" i="83"/>
  <c r="U23" i="83" s="1"/>
  <c r="P43" i="108"/>
  <c r="I138" i="108"/>
  <c r="F30" i="108"/>
  <c r="N30" i="108"/>
  <c r="P33" i="108"/>
  <c r="K138" i="108"/>
  <c r="K31" i="108"/>
  <c r="H25" i="81"/>
  <c r="J25" i="108"/>
  <c r="H43" i="108"/>
  <c r="P25" i="81"/>
  <c r="Q56" i="108"/>
  <c r="V56" i="108" s="1"/>
  <c r="J26" i="108"/>
  <c r="J127" i="119"/>
  <c r="K26" i="108"/>
  <c r="K164" i="108" s="1"/>
  <c r="Q121" i="150"/>
  <c r="N40" i="81"/>
  <c r="L26" i="108"/>
  <c r="E26" i="108"/>
  <c r="E164" i="108" s="1"/>
  <c r="M26" i="108"/>
  <c r="M164" i="108" s="1"/>
  <c r="L36" i="81"/>
  <c r="L194" i="83"/>
  <c r="M43" i="83"/>
  <c r="N43" i="83"/>
  <c r="O43" i="83"/>
  <c r="P43" i="83"/>
  <c r="K43" i="83"/>
  <c r="M16" i="108"/>
  <c r="J43" i="108"/>
  <c r="N16" i="108"/>
  <c r="N42" i="81"/>
  <c r="O15" i="108"/>
  <c r="E34" i="108"/>
  <c r="J132" i="146"/>
  <c r="J24" i="146" s="1"/>
  <c r="J97" i="146" s="1"/>
  <c r="J98" i="146" s="1"/>
  <c r="E16" i="108"/>
  <c r="F25" i="108"/>
  <c r="L32" i="108"/>
  <c r="J136" i="108"/>
  <c r="H38" i="81"/>
  <c r="P38" i="81"/>
  <c r="L25" i="108"/>
  <c r="P44" i="108"/>
  <c r="E137" i="108"/>
  <c r="E154" i="108" s="1"/>
  <c r="I114" i="152"/>
  <c r="F42" i="81"/>
  <c r="F16" i="108"/>
  <c r="O32" i="108"/>
  <c r="H44" i="108"/>
  <c r="M115" i="144"/>
  <c r="M11" i="144" s="1"/>
  <c r="I12" i="108"/>
  <c r="M34" i="108"/>
  <c r="J44" i="108"/>
  <c r="M137" i="108"/>
  <c r="M154" i="108" s="1"/>
  <c r="M138" i="108"/>
  <c r="K162" i="124"/>
  <c r="J34" i="126"/>
  <c r="Q48" i="81"/>
  <c r="U48" i="81" s="1"/>
  <c r="G15" i="108"/>
  <c r="K44" i="108"/>
  <c r="E138" i="108"/>
  <c r="E146" i="108"/>
  <c r="F36" i="81"/>
  <c r="N36" i="81"/>
  <c r="G150" i="150"/>
  <c r="G42" i="150" s="1"/>
  <c r="G114" i="150" s="1"/>
  <c r="O150" i="150"/>
  <c r="O42" i="150" s="1"/>
  <c r="O114" i="150" s="1"/>
  <c r="I40" i="81"/>
  <c r="K128" i="151"/>
  <c r="K20" i="151" s="1"/>
  <c r="K92" i="151" s="1"/>
  <c r="M43" i="108"/>
  <c r="G136" i="108"/>
  <c r="T113" i="124"/>
  <c r="O25" i="108"/>
  <c r="P32" i="108"/>
  <c r="J54" i="108"/>
  <c r="J134" i="124"/>
  <c r="Q16" i="146"/>
  <c r="T16" i="146" s="1"/>
  <c r="H36" i="81"/>
  <c r="P36" i="81"/>
  <c r="P40" i="81"/>
  <c r="O31" i="108"/>
  <c r="F134" i="108"/>
  <c r="F151" i="108" s="1"/>
  <c r="K136" i="108"/>
  <c r="F108" i="119"/>
  <c r="Q122" i="122"/>
  <c r="I36" i="81"/>
  <c r="L40" i="81"/>
  <c r="O136" i="108"/>
  <c r="O128" i="134"/>
  <c r="J16" i="108"/>
  <c r="H32" i="108"/>
  <c r="I44" i="108"/>
  <c r="J134" i="108"/>
  <c r="J151" i="108" s="1"/>
  <c r="J108" i="119"/>
  <c r="U115" i="119"/>
  <c r="G166" i="83"/>
  <c r="H30" i="108"/>
  <c r="Q117" i="124"/>
  <c r="R47" i="124" s="1"/>
  <c r="F34" i="126"/>
  <c r="N34" i="126"/>
  <c r="E40" i="81"/>
  <c r="M40" i="81"/>
  <c r="T104" i="151"/>
  <c r="T113" i="151"/>
  <c r="T117" i="151"/>
  <c r="T120" i="151"/>
  <c r="T124" i="151"/>
  <c r="L42" i="81"/>
  <c r="J130" i="148"/>
  <c r="M130" i="148"/>
  <c r="N146" i="132"/>
  <c r="F34" i="125"/>
  <c r="F34" i="108"/>
  <c r="F125" i="125"/>
  <c r="M127" i="119"/>
  <c r="M108" i="119"/>
  <c r="M134" i="108"/>
  <c r="G32" i="108"/>
  <c r="I34" i="125"/>
  <c r="I16" i="108"/>
  <c r="N31" i="108"/>
  <c r="N130" i="148"/>
  <c r="N26" i="108"/>
  <c r="N164" i="108" s="1"/>
  <c r="G14" i="108"/>
  <c r="G25" i="108"/>
  <c r="J30" i="108"/>
  <c r="N34" i="108"/>
  <c r="P125" i="124"/>
  <c r="P137" i="108"/>
  <c r="P154" i="108" s="1"/>
  <c r="G125" i="125"/>
  <c r="O125" i="125"/>
  <c r="G31" i="108"/>
  <c r="G35" i="121"/>
  <c r="G26" i="108"/>
  <c r="G164" i="108" s="1"/>
  <c r="O35" i="121"/>
  <c r="O26" i="108"/>
  <c r="O164" i="108" s="1"/>
  <c r="E44" i="108"/>
  <c r="M44" i="108"/>
  <c r="F12" i="149"/>
  <c r="N12" i="149"/>
  <c r="E127" i="119"/>
  <c r="E134" i="108"/>
  <c r="E151" i="108" s="1"/>
  <c r="J155" i="152"/>
  <c r="J25" i="81"/>
  <c r="P14" i="108"/>
  <c r="O127" i="124"/>
  <c r="O137" i="108"/>
  <c r="O154" i="108" s="1"/>
  <c r="N125" i="125"/>
  <c r="F130" i="148"/>
  <c r="F26" i="108"/>
  <c r="F164" i="108" s="1"/>
  <c r="L44" i="108"/>
  <c r="E115" i="144"/>
  <c r="E11" i="144" s="1"/>
  <c r="H14" i="108"/>
  <c r="O34" i="108"/>
  <c r="I125" i="124"/>
  <c r="I137" i="108"/>
  <c r="I154" i="108" s="1"/>
  <c r="H125" i="126"/>
  <c r="H146" i="108"/>
  <c r="P125" i="126"/>
  <c r="P146" i="108"/>
  <c r="H35" i="121"/>
  <c r="H26" i="108"/>
  <c r="P35" i="121"/>
  <c r="P26" i="108"/>
  <c r="F44" i="108"/>
  <c r="N44" i="108"/>
  <c r="G34" i="108"/>
  <c r="U58" i="147"/>
  <c r="E108" i="119"/>
  <c r="J115" i="131"/>
  <c r="J11" i="131" s="1"/>
  <c r="F31" i="108"/>
  <c r="F138" i="108"/>
  <c r="N138" i="108"/>
  <c r="N14" i="108"/>
  <c r="M34" i="123"/>
  <c r="M32" i="108"/>
  <c r="K31" i="124"/>
  <c r="K34" i="124" s="1"/>
  <c r="K15" i="108"/>
  <c r="H42" i="81"/>
  <c r="P42" i="81"/>
  <c r="E136" i="108"/>
  <c r="Q32" i="126"/>
  <c r="E43" i="108"/>
  <c r="L155" i="152"/>
  <c r="I35" i="121"/>
  <c r="F155" i="132"/>
  <c r="N155" i="132"/>
  <c r="F115" i="131"/>
  <c r="F11" i="131" s="1"/>
  <c r="N115" i="131"/>
  <c r="N11" i="131" s="1"/>
  <c r="I115" i="144"/>
  <c r="I11" i="144" s="1"/>
  <c r="N43" i="108"/>
  <c r="N134" i="108"/>
  <c r="N151" i="108" s="1"/>
  <c r="I146" i="108"/>
  <c r="J35" i="121"/>
  <c r="J42" i="81"/>
  <c r="T112" i="138"/>
  <c r="T121" i="138"/>
  <c r="T125" i="138"/>
  <c r="K150" i="150"/>
  <c r="K42" i="150" s="1"/>
  <c r="K114" i="150" s="1"/>
  <c r="E155" i="152"/>
  <c r="F136" i="108"/>
  <c r="K35" i="121"/>
  <c r="F132" i="146"/>
  <c r="F24" i="146" s="1"/>
  <c r="F97" i="146" s="1"/>
  <c r="F98" i="146" s="1"/>
  <c r="N132" i="146"/>
  <c r="N24" i="146" s="1"/>
  <c r="N97" i="146" s="1"/>
  <c r="N98" i="146" s="1"/>
  <c r="G128" i="151"/>
  <c r="G20" i="151" s="1"/>
  <c r="G92" i="151" s="1"/>
  <c r="O128" i="151"/>
  <c r="O20" i="151" s="1"/>
  <c r="O92" i="151" s="1"/>
  <c r="F155" i="152"/>
  <c r="N155" i="152"/>
  <c r="T187" i="140"/>
  <c r="T191" i="140"/>
  <c r="I34" i="108"/>
  <c r="F43" i="108"/>
  <c r="O132" i="146"/>
  <c r="O24" i="146" s="1"/>
  <c r="O97" i="146" s="1"/>
  <c r="O98" i="146" s="1"/>
  <c r="J12" i="149"/>
  <c r="L132" i="146"/>
  <c r="L24" i="146" s="1"/>
  <c r="L97" i="146" s="1"/>
  <c r="L98" i="146" s="1"/>
  <c r="J127" i="132"/>
  <c r="I26" i="108"/>
  <c r="I164" i="108" s="1"/>
  <c r="N108" i="119"/>
  <c r="L34" i="126"/>
  <c r="Q125" i="121"/>
  <c r="H132" i="146"/>
  <c r="H24" i="146" s="1"/>
  <c r="H97" i="146" s="1"/>
  <c r="H98" i="146" s="1"/>
  <c r="P132" i="146"/>
  <c r="P24" i="146" s="1"/>
  <c r="P97" i="146" s="1"/>
  <c r="P98" i="146" s="1"/>
  <c r="L25" i="81"/>
  <c r="H40" i="81"/>
  <c r="J188" i="108"/>
  <c r="F172" i="108"/>
  <c r="N172" i="108"/>
  <c r="M172" i="108"/>
  <c r="K114" i="152"/>
  <c r="H162" i="119"/>
  <c r="E162" i="123"/>
  <c r="E153" i="125"/>
  <c r="L172" i="108"/>
  <c r="O205" i="108"/>
  <c r="H153" i="119"/>
  <c r="P153" i="119"/>
  <c r="J199" i="108"/>
  <c r="I172" i="108"/>
  <c r="E153" i="123"/>
  <c r="M189" i="108"/>
  <c r="L162" i="124"/>
  <c r="P205" i="108"/>
  <c r="K186" i="108"/>
  <c r="N199" i="108"/>
  <c r="F134" i="119"/>
  <c r="N134" i="119"/>
  <c r="E176" i="108"/>
  <c r="M176" i="108"/>
  <c r="I153" i="119"/>
  <c r="I187" i="108"/>
  <c r="M188" i="108"/>
  <c r="I189" i="108"/>
  <c r="K199" i="108"/>
  <c r="G205" i="108"/>
  <c r="J172" i="108"/>
  <c r="L153" i="124"/>
  <c r="E153" i="126"/>
  <c r="L162" i="119"/>
  <c r="E134" i="124"/>
  <c r="M134" i="124"/>
  <c r="M153" i="124"/>
  <c r="K128" i="134"/>
  <c r="O147" i="134"/>
  <c r="H156" i="134"/>
  <c r="P156" i="134"/>
  <c r="K153" i="119"/>
  <c r="L128" i="134"/>
  <c r="H147" i="134"/>
  <c r="P147" i="134"/>
  <c r="H114" i="152"/>
  <c r="P114" i="152"/>
  <c r="G171" i="108"/>
  <c r="O171" i="108"/>
  <c r="K187" i="108"/>
  <c r="H205" i="108"/>
  <c r="K172" i="108"/>
  <c r="H128" i="134"/>
  <c r="P128" i="134"/>
  <c r="L147" i="134"/>
  <c r="E156" i="134"/>
  <c r="M156" i="134"/>
  <c r="F199" i="108"/>
  <c r="F153" i="124"/>
  <c r="N153" i="124"/>
  <c r="G162" i="124"/>
  <c r="O162" i="124"/>
  <c r="F156" i="134"/>
  <c r="N156" i="134"/>
  <c r="I142" i="152"/>
  <c r="I176" i="108"/>
  <c r="G162" i="119"/>
  <c r="O162" i="119"/>
  <c r="P162" i="119"/>
  <c r="K205" i="108"/>
  <c r="K70" i="18" s="1"/>
  <c r="K75" i="18" s="1"/>
  <c r="H134" i="124"/>
  <c r="P134" i="124"/>
  <c r="H153" i="124"/>
  <c r="P153" i="124"/>
  <c r="I162" i="124"/>
  <c r="G114" i="152"/>
  <c r="O114" i="152"/>
  <c r="I134" i="124"/>
  <c r="U42" i="147"/>
  <c r="U69" i="147"/>
  <c r="L38" i="81"/>
  <c r="Q39" i="132"/>
  <c r="Q46" i="132"/>
  <c r="Q60" i="132"/>
  <c r="Q63" i="132"/>
  <c r="Q57" i="132"/>
  <c r="Q47" i="132"/>
  <c r="Q49" i="132"/>
  <c r="F166" i="83"/>
  <c r="Q174" i="83"/>
  <c r="U174" i="83" s="1"/>
  <c r="Q192" i="83"/>
  <c r="U192" i="83" s="1"/>
  <c r="T189" i="140"/>
  <c r="Q188" i="83"/>
  <c r="U188" i="83" s="1"/>
  <c r="Q190" i="83"/>
  <c r="U190" i="83" s="1"/>
  <c r="U91" i="147"/>
  <c r="Q149" i="132"/>
  <c r="Q153" i="132"/>
  <c r="E127" i="132"/>
  <c r="M127" i="132"/>
  <c r="L155" i="132"/>
  <c r="Q151" i="132"/>
  <c r="F127" i="132"/>
  <c r="N127" i="132"/>
  <c r="Q150" i="132"/>
  <c r="Q152" i="132"/>
  <c r="Q29" i="132"/>
  <c r="M31" i="108"/>
  <c r="H127" i="124"/>
  <c r="H115" i="144"/>
  <c r="H11" i="144" s="1"/>
  <c r="L115" i="144"/>
  <c r="L11" i="144" s="1"/>
  <c r="P115" i="144"/>
  <c r="P11" i="144" s="1"/>
  <c r="E12" i="108"/>
  <c r="L186" i="108"/>
  <c r="H187" i="108"/>
  <c r="L187" i="108"/>
  <c r="P187" i="108"/>
  <c r="L188" i="108"/>
  <c r="Q26" i="18"/>
  <c r="M12" i="108"/>
  <c r="Q46" i="108"/>
  <c r="V46" i="108" s="1"/>
  <c r="Q47" i="108"/>
  <c r="Q106" i="108"/>
  <c r="V106" i="108" s="1"/>
  <c r="Q107" i="108"/>
  <c r="V107" i="108" s="1"/>
  <c r="Q109" i="108"/>
  <c r="V109" i="108" s="1"/>
  <c r="Q111" i="108"/>
  <c r="V111" i="108" s="1"/>
  <c r="Q112" i="108"/>
  <c r="V112" i="108" s="1"/>
  <c r="Q113" i="108"/>
  <c r="V113" i="108" s="1"/>
  <c r="Q114" i="108"/>
  <c r="V114" i="108" s="1"/>
  <c r="Q119" i="108"/>
  <c r="V119" i="108" s="1"/>
  <c r="Q121" i="108"/>
  <c r="V121" i="108" s="1"/>
  <c r="Q125" i="108"/>
  <c r="V125" i="108" s="1"/>
  <c r="Q126" i="108"/>
  <c r="V126" i="108" s="1"/>
  <c r="Q127" i="108"/>
  <c r="V127" i="108" s="1"/>
  <c r="Q160" i="108"/>
  <c r="V160" i="108" s="1"/>
  <c r="Q139" i="119"/>
  <c r="T116" i="123"/>
  <c r="T115" i="124"/>
  <c r="K185" i="108"/>
  <c r="F127" i="119"/>
  <c r="K134" i="119"/>
  <c r="T114" i="123"/>
  <c r="E205" i="108"/>
  <c r="E70" i="18" s="1"/>
  <c r="E75" i="18" s="1"/>
  <c r="M205" i="108"/>
  <c r="I90" i="108"/>
  <c r="M90" i="108"/>
  <c r="U38" i="147"/>
  <c r="U50" i="147"/>
  <c r="U107" i="147"/>
  <c r="L193" i="83"/>
  <c r="J34" i="125"/>
  <c r="N34" i="125"/>
  <c r="T116" i="125"/>
  <c r="E129" i="148"/>
  <c r="I129" i="148"/>
  <c r="M129" i="148"/>
  <c r="H34" i="126"/>
  <c r="P27" i="126"/>
  <c r="P28" i="126" s="1"/>
  <c r="P134" i="147" s="1"/>
  <c r="T12" i="146"/>
  <c r="U65" i="147"/>
  <c r="I38" i="81"/>
  <c r="M38" i="81"/>
  <c r="T111" i="138"/>
  <c r="T120" i="138"/>
  <c r="T124" i="138"/>
  <c r="T131" i="138"/>
  <c r="T135" i="138"/>
  <c r="G40" i="81"/>
  <c r="K40" i="81"/>
  <c r="O40" i="81"/>
  <c r="T101" i="151"/>
  <c r="T105" i="151"/>
  <c r="T110" i="151"/>
  <c r="T121" i="151"/>
  <c r="T125" i="151"/>
  <c r="L190" i="108"/>
  <c r="T112" i="125"/>
  <c r="N13" i="108"/>
  <c r="H27" i="126"/>
  <c r="H28" i="126" s="1"/>
  <c r="H134" i="147" s="1"/>
  <c r="U106" i="147"/>
  <c r="G137" i="138"/>
  <c r="G29" i="138" s="1"/>
  <c r="G101" i="138" s="1"/>
  <c r="G60" i="81" s="1"/>
  <c r="K137" i="138"/>
  <c r="K29" i="138" s="1"/>
  <c r="K101" i="138" s="1"/>
  <c r="O137" i="138"/>
  <c r="O29" i="138" s="1"/>
  <c r="O101" i="138" s="1"/>
  <c r="E128" i="151"/>
  <c r="E20" i="151" s="1"/>
  <c r="E92" i="151" s="1"/>
  <c r="I128" i="151"/>
  <c r="I20" i="151" s="1"/>
  <c r="I92" i="151" s="1"/>
  <c r="I58" i="81" s="1"/>
  <c r="M128" i="151"/>
  <c r="M20" i="151" s="1"/>
  <c r="M92" i="151" s="1"/>
  <c r="M58" i="81" s="1"/>
  <c r="K165" i="83"/>
  <c r="K166" i="83" s="1"/>
  <c r="Q43" i="139"/>
  <c r="T43" i="139" s="1"/>
  <c r="H172" i="108"/>
  <c r="P172" i="108"/>
  <c r="E171" i="108"/>
  <c r="M171" i="108"/>
  <c r="Q108" i="135"/>
  <c r="Q115" i="135" s="1"/>
  <c r="T115" i="135" s="1"/>
  <c r="G38" i="81"/>
  <c r="K38" i="81"/>
  <c r="O38" i="81"/>
  <c r="Q108" i="136"/>
  <c r="T108" i="136" s="1"/>
  <c r="H137" i="138"/>
  <c r="H29" i="138" s="1"/>
  <c r="H101" i="138" s="1"/>
  <c r="L137" i="138"/>
  <c r="L29" i="138" s="1"/>
  <c r="L101" i="138" s="1"/>
  <c r="P137" i="138"/>
  <c r="P29" i="138" s="1"/>
  <c r="P101" i="138" s="1"/>
  <c r="T132" i="138"/>
  <c r="E150" i="150"/>
  <c r="E42" i="150" s="1"/>
  <c r="E114" i="150" s="1"/>
  <c r="I150" i="150"/>
  <c r="I42" i="150" s="1"/>
  <c r="I114" i="150" s="1"/>
  <c r="M150" i="150"/>
  <c r="M42" i="150" s="1"/>
  <c r="M114" i="150" s="1"/>
  <c r="F40" i="81"/>
  <c r="J40" i="81"/>
  <c r="Q94" i="152"/>
  <c r="Q106" i="152" s="1"/>
  <c r="O165" i="83"/>
  <c r="O166" i="83" s="1"/>
  <c r="F198" i="83"/>
  <c r="T173" i="140"/>
  <c r="N193" i="83"/>
  <c r="F195" i="142"/>
  <c r="F12" i="142" s="1"/>
  <c r="J198" i="83"/>
  <c r="E85" i="18"/>
  <c r="Q58" i="18"/>
  <c r="I185" i="83"/>
  <c r="N198" i="83"/>
  <c r="M155" i="132"/>
  <c r="G127" i="132"/>
  <c r="H115" i="131"/>
  <c r="H11" i="131" s="1"/>
  <c r="L115" i="131"/>
  <c r="L11" i="131" s="1"/>
  <c r="P115" i="131"/>
  <c r="P11" i="131" s="1"/>
  <c r="G116" i="132"/>
  <c r="Q65" i="132"/>
  <c r="Q67" i="132"/>
  <c r="Q68" i="132"/>
  <c r="Q70" i="132"/>
  <c r="Q75" i="132"/>
  <c r="Q76" i="132"/>
  <c r="Q77" i="132"/>
  <c r="Q78" i="132"/>
  <c r="Q79" i="132"/>
  <c r="Q81" i="132"/>
  <c r="Q83" i="132"/>
  <c r="Q84" i="132"/>
  <c r="Q86" i="132"/>
  <c r="Q87" i="132"/>
  <c r="Q93" i="132"/>
  <c r="Q95" i="132"/>
  <c r="Q98" i="132"/>
  <c r="Q99" i="132"/>
  <c r="Q126" i="132"/>
  <c r="Q114" i="131"/>
  <c r="T114" i="131" s="1"/>
  <c r="E52" i="18"/>
  <c r="E115" i="131"/>
  <c r="E11" i="131" s="1"/>
  <c r="I115" i="131"/>
  <c r="I11" i="131" s="1"/>
  <c r="M115" i="131"/>
  <c r="M11" i="131" s="1"/>
  <c r="Q105" i="131"/>
  <c r="T105" i="131" s="1"/>
  <c r="Q158" i="108"/>
  <c r="V158" i="108" s="1"/>
  <c r="E125" i="123"/>
  <c r="M125" i="123"/>
  <c r="F125" i="126"/>
  <c r="L130" i="148"/>
  <c r="P130" i="148"/>
  <c r="Q122" i="121"/>
  <c r="T122" i="121" s="1"/>
  <c r="Q114" i="144"/>
  <c r="H15" i="108"/>
  <c r="L15" i="108"/>
  <c r="P15" i="108"/>
  <c r="O30" i="108"/>
  <c r="F32" i="108"/>
  <c r="J32" i="108"/>
  <c r="N32" i="108"/>
  <c r="N33" i="108"/>
  <c r="K137" i="108"/>
  <c r="K154" i="108" s="1"/>
  <c r="Q198" i="108"/>
  <c r="H54" i="108"/>
  <c r="U51" i="119"/>
  <c r="U62" i="119"/>
  <c r="U69" i="119"/>
  <c r="U81" i="119"/>
  <c r="U113" i="119"/>
  <c r="H125" i="119"/>
  <c r="F185" i="108"/>
  <c r="N185" i="108"/>
  <c r="J186" i="108"/>
  <c r="J190" i="108"/>
  <c r="T112" i="123"/>
  <c r="F125" i="123"/>
  <c r="N125" i="123"/>
  <c r="E27" i="124"/>
  <c r="E28" i="124" s="1"/>
  <c r="M31" i="124"/>
  <c r="M34" i="124" s="1"/>
  <c r="T85" i="124"/>
  <c r="T112" i="124"/>
  <c r="T114" i="124"/>
  <c r="T116" i="124"/>
  <c r="L127" i="124"/>
  <c r="K171" i="108"/>
  <c r="Q147" i="124"/>
  <c r="T147" i="124" s="1"/>
  <c r="Q149" i="124"/>
  <c r="T149" i="124" s="1"/>
  <c r="L125" i="125"/>
  <c r="H130" i="148"/>
  <c r="T113" i="126"/>
  <c r="E130" i="148"/>
  <c r="G117" i="130"/>
  <c r="G11" i="130" s="1"/>
  <c r="L117" i="130"/>
  <c r="L11" i="130" s="1"/>
  <c r="P117" i="130"/>
  <c r="P11" i="130" s="1"/>
  <c r="Q88" i="131"/>
  <c r="T88" i="131" s="1"/>
  <c r="G115" i="131"/>
  <c r="G11" i="131" s="1"/>
  <c r="K115" i="131"/>
  <c r="K11" i="131" s="1"/>
  <c r="O115" i="131"/>
  <c r="O11" i="131" s="1"/>
  <c r="Q105" i="144"/>
  <c r="E14" i="108"/>
  <c r="I14" i="108"/>
  <c r="M14" i="108"/>
  <c r="K30" i="108"/>
  <c r="P30" i="108"/>
  <c r="I31" i="108"/>
  <c r="G43" i="108"/>
  <c r="K43" i="108"/>
  <c r="O43" i="108"/>
  <c r="Q62" i="108"/>
  <c r="V62" i="108" s="1"/>
  <c r="Q72" i="108"/>
  <c r="V72" i="108" s="1"/>
  <c r="Q74" i="108"/>
  <c r="V74" i="108" s="1"/>
  <c r="Q75" i="108"/>
  <c r="V75" i="108" s="1"/>
  <c r="Q76" i="108"/>
  <c r="V76" i="108" s="1"/>
  <c r="Q91" i="108"/>
  <c r="V91" i="108" s="1"/>
  <c r="Q92" i="108"/>
  <c r="V92" i="108" s="1"/>
  <c r="L134" i="108"/>
  <c r="M136" i="108"/>
  <c r="G137" i="108"/>
  <c r="G154" i="108" s="1"/>
  <c r="L137" i="108"/>
  <c r="L154" i="108" s="1"/>
  <c r="F146" i="108"/>
  <c r="J146" i="108"/>
  <c r="N146" i="108"/>
  <c r="Q162" i="108"/>
  <c r="V162" i="108" s="1"/>
  <c r="O199" i="108"/>
  <c r="Q25" i="119"/>
  <c r="U25" i="119" s="1"/>
  <c r="L108" i="119"/>
  <c r="U85" i="119"/>
  <c r="L125" i="119"/>
  <c r="N127" i="119"/>
  <c r="G186" i="108"/>
  <c r="O186" i="108"/>
  <c r="K189" i="108"/>
  <c r="G190" i="108"/>
  <c r="O190" i="108"/>
  <c r="I125" i="123"/>
  <c r="H185" i="108"/>
  <c r="M27" i="124"/>
  <c r="M28" i="124" s="1"/>
  <c r="T45" i="124"/>
  <c r="T57" i="124"/>
  <c r="T81" i="124"/>
  <c r="T97" i="124"/>
  <c r="P127" i="124"/>
  <c r="M34" i="125"/>
  <c r="H125" i="125"/>
  <c r="N189" i="108"/>
  <c r="I130" i="148"/>
  <c r="G34" i="126"/>
  <c r="K34" i="126"/>
  <c r="O34" i="126"/>
  <c r="T34" i="121"/>
  <c r="Q88" i="144"/>
  <c r="G115" i="144"/>
  <c r="G11" i="144" s="1"/>
  <c r="K115" i="144"/>
  <c r="K11" i="144" s="1"/>
  <c r="O115" i="144"/>
  <c r="O11" i="144" s="1"/>
  <c r="O12" i="108"/>
  <c r="G30" i="108"/>
  <c r="L30" i="108"/>
  <c r="E31" i="108"/>
  <c r="H34" i="108"/>
  <c r="H134" i="108"/>
  <c r="H151" i="108" s="1"/>
  <c r="I136" i="108"/>
  <c r="N136" i="108"/>
  <c r="H137" i="108"/>
  <c r="H154" i="108" s="1"/>
  <c r="G146" i="108"/>
  <c r="K146" i="108"/>
  <c r="O146" i="108"/>
  <c r="Q156" i="108"/>
  <c r="V156" i="108" s="1"/>
  <c r="I185" i="108"/>
  <c r="Q196" i="108"/>
  <c r="G199" i="108"/>
  <c r="R33" i="119"/>
  <c r="H108" i="119"/>
  <c r="U55" i="119"/>
  <c r="U73" i="119"/>
  <c r="U93" i="119"/>
  <c r="Q117" i="119"/>
  <c r="R47" i="119" s="1"/>
  <c r="Q122" i="119"/>
  <c r="U122" i="119" s="1"/>
  <c r="P125" i="119"/>
  <c r="H186" i="108"/>
  <c r="P186" i="108"/>
  <c r="H188" i="108"/>
  <c r="P188" i="108"/>
  <c r="H190" i="108"/>
  <c r="P190" i="108"/>
  <c r="J205" i="108"/>
  <c r="J70" i="18" s="1"/>
  <c r="L34" i="123"/>
  <c r="J125" i="123"/>
  <c r="I186" i="108"/>
  <c r="M187" i="108"/>
  <c r="I188" i="108"/>
  <c r="Q149" i="123"/>
  <c r="T149" i="123" s="1"/>
  <c r="I190" i="108"/>
  <c r="Q17" i="124"/>
  <c r="T17" i="124" s="1"/>
  <c r="O34" i="124"/>
  <c r="I27" i="124"/>
  <c r="I28" i="124" s="1"/>
  <c r="R33" i="124"/>
  <c r="T41" i="124"/>
  <c r="T53" i="124"/>
  <c r="H199" i="108"/>
  <c r="P199" i="108"/>
  <c r="T113" i="125"/>
  <c r="E90" i="108"/>
  <c r="T76" i="126"/>
  <c r="J125" i="126"/>
  <c r="Q73" i="136"/>
  <c r="Q94" i="136" s="1"/>
  <c r="E38" i="81"/>
  <c r="T132" i="121"/>
  <c r="U54" i="147"/>
  <c r="U73" i="147"/>
  <c r="U81" i="147"/>
  <c r="E121" i="149"/>
  <c r="E12" i="149" s="1"/>
  <c r="I12" i="149"/>
  <c r="M12" i="149"/>
  <c r="L12" i="149"/>
  <c r="U12" i="81"/>
  <c r="Q130" i="136"/>
  <c r="T130" i="136" s="1"/>
  <c r="G42" i="81"/>
  <c r="K42" i="81"/>
  <c r="O42" i="81"/>
  <c r="Q99" i="151"/>
  <c r="T99" i="151" s="1"/>
  <c r="T132" i="125"/>
  <c r="G185" i="108"/>
  <c r="O185" i="108"/>
  <c r="G187" i="108"/>
  <c r="O187" i="108"/>
  <c r="G189" i="108"/>
  <c r="O189" i="108"/>
  <c r="K190" i="108"/>
  <c r="H36" i="122"/>
  <c r="J185" i="108"/>
  <c r="F186" i="108"/>
  <c r="N186" i="108"/>
  <c r="F188" i="108"/>
  <c r="N188" i="108"/>
  <c r="F190" i="108"/>
  <c r="N190" i="108"/>
  <c r="L205" i="108"/>
  <c r="Q124" i="121"/>
  <c r="T124" i="121" s="1"/>
  <c r="Q105" i="146"/>
  <c r="Q112" i="146"/>
  <c r="Q122" i="146"/>
  <c r="Q131" i="146"/>
  <c r="Q13" i="81"/>
  <c r="Q51" i="81"/>
  <c r="U51" i="81" s="1"/>
  <c r="Q52" i="81"/>
  <c r="U52" i="81" s="1"/>
  <c r="Q57" i="81"/>
  <c r="U57" i="81" s="1"/>
  <c r="Q59" i="81"/>
  <c r="U59" i="81" s="1"/>
  <c r="Q62" i="81"/>
  <c r="U62" i="81" s="1"/>
  <c r="Q14" i="151"/>
  <c r="T12" i="151"/>
  <c r="Q25" i="122"/>
  <c r="M36" i="122"/>
  <c r="Q17" i="126"/>
  <c r="T17" i="126" s="1"/>
  <c r="Q25" i="126"/>
  <c r="T25" i="126" s="1"/>
  <c r="Q117" i="126"/>
  <c r="G132" i="146"/>
  <c r="G24" i="146" s="1"/>
  <c r="G97" i="146" s="1"/>
  <c r="G98" i="146" s="1"/>
  <c r="K132" i="146"/>
  <c r="K24" i="146" s="1"/>
  <c r="K97" i="146" s="1"/>
  <c r="K98" i="146" s="1"/>
  <c r="Q43" i="147"/>
  <c r="U43" i="147" s="1"/>
  <c r="U46" i="147"/>
  <c r="U77" i="147"/>
  <c r="F12" i="147"/>
  <c r="Q18" i="81"/>
  <c r="I42" i="81"/>
  <c r="M42" i="81"/>
  <c r="Q155" i="134"/>
  <c r="T155" i="134" s="1"/>
  <c r="Q134" i="135"/>
  <c r="T134" i="135" s="1"/>
  <c r="F131" i="136"/>
  <c r="F23" i="136" s="1"/>
  <c r="F95" i="136" s="1"/>
  <c r="F97" i="136" s="1"/>
  <c r="J131" i="136"/>
  <c r="J23" i="136" s="1"/>
  <c r="J95" i="136" s="1"/>
  <c r="J97" i="136" s="1"/>
  <c r="N131" i="136"/>
  <c r="N23" i="136" s="1"/>
  <c r="N95" i="136" s="1"/>
  <c r="N97" i="136" s="1"/>
  <c r="Q21" i="150"/>
  <c r="R33" i="150" s="1"/>
  <c r="F150" i="150"/>
  <c r="F42" i="150" s="1"/>
  <c r="F114" i="150" s="1"/>
  <c r="J150" i="150"/>
  <c r="J42" i="150" s="1"/>
  <c r="J114" i="150" s="1"/>
  <c r="N150" i="150"/>
  <c r="N42" i="150" s="1"/>
  <c r="N114" i="150" s="1"/>
  <c r="Q130" i="150"/>
  <c r="T98" i="151"/>
  <c r="H128" i="151"/>
  <c r="H20" i="151" s="1"/>
  <c r="H92" i="151" s="1"/>
  <c r="H58" i="81" s="1"/>
  <c r="L128" i="151"/>
  <c r="L20" i="151" s="1"/>
  <c r="L92" i="151" s="1"/>
  <c r="L94" i="151" s="1"/>
  <c r="P128" i="151"/>
  <c r="P20" i="151" s="1"/>
  <c r="P92" i="151" s="1"/>
  <c r="P94" i="151" s="1"/>
  <c r="M142" i="152"/>
  <c r="Q17" i="83"/>
  <c r="U17" i="83" s="1"/>
  <c r="Q19" i="83"/>
  <c r="U19" i="83" s="1"/>
  <c r="Q20" i="83"/>
  <c r="U20" i="83" s="1"/>
  <c r="Q21" i="83"/>
  <c r="U21" i="83" s="1"/>
  <c r="Q22" i="83"/>
  <c r="U22" i="83" s="1"/>
  <c r="Q27" i="83"/>
  <c r="U27" i="83" s="1"/>
  <c r="I165" i="83"/>
  <c r="I166" i="83" s="1"/>
  <c r="J166" i="83"/>
  <c r="N135" i="135"/>
  <c r="N27" i="135" s="1"/>
  <c r="F38" i="81"/>
  <c r="J38" i="81"/>
  <c r="N38" i="81"/>
  <c r="L131" i="136"/>
  <c r="L23" i="136" s="1"/>
  <c r="L95" i="136" s="1"/>
  <c r="L97" i="136" s="1"/>
  <c r="Q40" i="150"/>
  <c r="T40" i="150" s="1"/>
  <c r="Q113" i="150"/>
  <c r="G36" i="81"/>
  <c r="K36" i="81"/>
  <c r="O36" i="81"/>
  <c r="Q91" i="151"/>
  <c r="T97" i="151"/>
  <c r="F128" i="151"/>
  <c r="F20" i="151" s="1"/>
  <c r="F92" i="151" s="1"/>
  <c r="J128" i="151"/>
  <c r="J20" i="151" s="1"/>
  <c r="J92" i="151" s="1"/>
  <c r="N128" i="151"/>
  <c r="N20" i="151" s="1"/>
  <c r="N92" i="151" s="1"/>
  <c r="P168" i="83"/>
  <c r="P175" i="83" s="1"/>
  <c r="Q28" i="83"/>
  <c r="U28" i="83" s="1"/>
  <c r="Q30" i="83"/>
  <c r="U30" i="83" s="1"/>
  <c r="Q31" i="83"/>
  <c r="U31" i="83" s="1"/>
  <c r="Q33" i="83"/>
  <c r="U33" i="83" s="1"/>
  <c r="Q35" i="83"/>
  <c r="U35" i="83" s="1"/>
  <c r="Q36" i="83"/>
  <c r="U36" i="83" s="1"/>
  <c r="Q37" i="83"/>
  <c r="U37" i="83" s="1"/>
  <c r="Q38" i="83"/>
  <c r="U38" i="83" s="1"/>
  <c r="Q39" i="83"/>
  <c r="U39" i="83" s="1"/>
  <c r="Q44" i="83"/>
  <c r="U44" i="83" s="1"/>
  <c r="Q45" i="83"/>
  <c r="U45" i="83" s="1"/>
  <c r="Q46" i="83"/>
  <c r="U46" i="83" s="1"/>
  <c r="Q47" i="83"/>
  <c r="U47" i="83" s="1"/>
  <c r="Q51" i="83"/>
  <c r="U51" i="83" s="1"/>
  <c r="Q52" i="83"/>
  <c r="U52" i="83" s="1"/>
  <c r="Q54" i="83"/>
  <c r="U54" i="83" s="1"/>
  <c r="Q55" i="83"/>
  <c r="U55" i="83" s="1"/>
  <c r="Q57" i="83"/>
  <c r="U57" i="83" s="1"/>
  <c r="Q59" i="83"/>
  <c r="U59" i="83" s="1"/>
  <c r="Q60" i="83"/>
  <c r="U60" i="83" s="1"/>
  <c r="Q61" i="83"/>
  <c r="U61" i="83" s="1"/>
  <c r="Q62" i="83"/>
  <c r="U62" i="83" s="1"/>
  <c r="Q63" i="83"/>
  <c r="U63" i="83" s="1"/>
  <c r="Q67" i="83"/>
  <c r="U67" i="83" s="1"/>
  <c r="Q68" i="83"/>
  <c r="U68" i="83" s="1"/>
  <c r="Q71" i="83"/>
  <c r="Q74" i="83"/>
  <c r="U74" i="83" s="1"/>
  <c r="Q75" i="83"/>
  <c r="U75" i="83" s="1"/>
  <c r="Q77" i="83"/>
  <c r="U77" i="83" s="1"/>
  <c r="Q78" i="83"/>
  <c r="U78" i="83" s="1"/>
  <c r="Q80" i="83"/>
  <c r="U80" i="83" s="1"/>
  <c r="Q82" i="83"/>
  <c r="U82" i="83" s="1"/>
  <c r="Q83" i="83"/>
  <c r="U83" i="83" s="1"/>
  <c r="Q84" i="83"/>
  <c r="U84" i="83" s="1"/>
  <c r="Q85" i="83"/>
  <c r="U85" i="83" s="1"/>
  <c r="Q86" i="83"/>
  <c r="Q89" i="83"/>
  <c r="U89" i="83" s="1"/>
  <c r="Q91" i="83"/>
  <c r="U91" i="83" s="1"/>
  <c r="Q92" i="83"/>
  <c r="Q93" i="83"/>
  <c r="U93" i="83" s="1"/>
  <c r="Q95" i="83"/>
  <c r="U95" i="83" s="1"/>
  <c r="Q96" i="83"/>
  <c r="U96" i="83" s="1"/>
  <c r="Q98" i="83"/>
  <c r="U98" i="83" s="1"/>
  <c r="Q100" i="83"/>
  <c r="U100" i="83" s="1"/>
  <c r="Q101" i="83"/>
  <c r="U101" i="83" s="1"/>
  <c r="Q102" i="83"/>
  <c r="U102" i="83" s="1"/>
  <c r="Q103" i="83"/>
  <c r="U103" i="83" s="1"/>
  <c r="Q104" i="83"/>
  <c r="U104" i="83" s="1"/>
  <c r="Q108" i="83"/>
  <c r="U108" i="83" s="1"/>
  <c r="Q109" i="83"/>
  <c r="U109" i="83" s="1"/>
  <c r="Q111" i="83"/>
  <c r="U111" i="83" s="1"/>
  <c r="Q112" i="83"/>
  <c r="U112" i="83" s="1"/>
  <c r="Q114" i="83"/>
  <c r="U114" i="83" s="1"/>
  <c r="Q116" i="83"/>
  <c r="U116" i="83" s="1"/>
  <c r="Q117" i="83"/>
  <c r="U117" i="83" s="1"/>
  <c r="Q118" i="83"/>
  <c r="U118" i="83" s="1"/>
  <c r="Q119" i="83"/>
  <c r="U119" i="83" s="1"/>
  <c r="Q120" i="83"/>
  <c r="U120" i="83" s="1"/>
  <c r="Q124" i="83"/>
  <c r="U124" i="83" s="1"/>
  <c r="Q125" i="83"/>
  <c r="U125" i="83" s="1"/>
  <c r="Q127" i="83"/>
  <c r="U127" i="83" s="1"/>
  <c r="Q128" i="83"/>
  <c r="U128" i="83" s="1"/>
  <c r="Q130" i="83"/>
  <c r="U130" i="83" s="1"/>
  <c r="Q132" i="83"/>
  <c r="U132" i="83" s="1"/>
  <c r="Q133" i="83"/>
  <c r="U133" i="83" s="1"/>
  <c r="Q134" i="83"/>
  <c r="U134" i="83" s="1"/>
  <c r="Q135" i="83"/>
  <c r="U135" i="83" s="1"/>
  <c r="Q136" i="83"/>
  <c r="U136" i="83" s="1"/>
  <c r="Q140" i="83"/>
  <c r="U140" i="83" s="1"/>
  <c r="Q141" i="83"/>
  <c r="U141" i="83" s="1"/>
  <c r="Q143" i="83"/>
  <c r="U143" i="83" s="1"/>
  <c r="Q144" i="83"/>
  <c r="U144" i="83" s="1"/>
  <c r="Q146" i="83"/>
  <c r="U146" i="83" s="1"/>
  <c r="Q148" i="83"/>
  <c r="U148" i="83" s="1"/>
  <c r="Q149" i="83"/>
  <c r="U149" i="83" s="1"/>
  <c r="Q150" i="83"/>
  <c r="U150" i="83" s="1"/>
  <c r="Q151" i="83"/>
  <c r="U151" i="83" s="1"/>
  <c r="Q152" i="83"/>
  <c r="U152" i="83" s="1"/>
  <c r="Q156" i="83"/>
  <c r="U156" i="83" s="1"/>
  <c r="Q157" i="83"/>
  <c r="U157" i="83" s="1"/>
  <c r="M185" i="83"/>
  <c r="O185" i="83"/>
  <c r="I193" i="83"/>
  <c r="T188" i="140"/>
  <c r="T190" i="140"/>
  <c r="L165" i="83"/>
  <c r="L166" i="83" s="1"/>
  <c r="G185" i="83"/>
  <c r="T174" i="140"/>
  <c r="G195" i="143"/>
  <c r="G12" i="143" s="1"/>
  <c r="K195" i="143"/>
  <c r="K12" i="143" s="1"/>
  <c r="O195" i="143"/>
  <c r="O12" i="143" s="1"/>
  <c r="G12" i="153"/>
  <c r="Q174" i="154"/>
  <c r="U174" i="154" s="1"/>
  <c r="Q178" i="154"/>
  <c r="U178" i="154" s="1"/>
  <c r="L195" i="143"/>
  <c r="L12" i="143" s="1"/>
  <c r="P195" i="143"/>
  <c r="P12" i="143" s="1"/>
  <c r="Q194" i="143"/>
  <c r="T194" i="143" s="1"/>
  <c r="Q118" i="121"/>
  <c r="T116" i="121"/>
  <c r="I171" i="108"/>
  <c r="T132" i="123"/>
  <c r="E172" i="108"/>
  <c r="E134" i="123"/>
  <c r="E153" i="124"/>
  <c r="K176" i="108"/>
  <c r="L199" i="108"/>
  <c r="Q118" i="131"/>
  <c r="T118" i="131" s="1"/>
  <c r="G176" i="108"/>
  <c r="E134" i="119"/>
  <c r="M134" i="119"/>
  <c r="J189" i="108"/>
  <c r="L185" i="108"/>
  <c r="L189" i="108"/>
  <c r="Q146" i="126"/>
  <c r="T146" i="126" s="1"/>
  <c r="Q150" i="126"/>
  <c r="T150" i="126" s="1"/>
  <c r="Q160" i="126"/>
  <c r="G128" i="134"/>
  <c r="Q141" i="134"/>
  <c r="T141" i="134" s="1"/>
  <c r="Q143" i="134"/>
  <c r="T143" i="134" s="1"/>
  <c r="L156" i="134"/>
  <c r="E114" i="152"/>
  <c r="M114" i="152"/>
  <c r="N166" i="83"/>
  <c r="O168" i="83"/>
  <c r="O175" i="83" s="1"/>
  <c r="L175" i="83"/>
  <c r="H193" i="83"/>
  <c r="P193" i="83"/>
  <c r="E171" i="154"/>
  <c r="G134" i="119"/>
  <c r="L153" i="119"/>
  <c r="F187" i="108"/>
  <c r="N187" i="108"/>
  <c r="Q161" i="123"/>
  <c r="T161" i="123" s="1"/>
  <c r="H162" i="124"/>
  <c r="Q160" i="125"/>
  <c r="F147" i="134"/>
  <c r="J193" i="83"/>
  <c r="Q163" i="154"/>
  <c r="U163" i="154" s="1"/>
  <c r="M185" i="108"/>
  <c r="Q145" i="119"/>
  <c r="U145" i="119" s="1"/>
  <c r="M153" i="119"/>
  <c r="Q147" i="119"/>
  <c r="U147" i="119" s="1"/>
  <c r="K162" i="119"/>
  <c r="G172" i="108"/>
  <c r="O172" i="108"/>
  <c r="K188" i="108"/>
  <c r="L134" i="124"/>
  <c r="Q133" i="126"/>
  <c r="T133" i="126" s="1"/>
  <c r="Q137" i="126"/>
  <c r="T137" i="126" s="1"/>
  <c r="Q139" i="126"/>
  <c r="Q130" i="134"/>
  <c r="T130" i="134" s="1"/>
  <c r="T132" i="134"/>
  <c r="Q118" i="152"/>
  <c r="T118" i="152" s="1"/>
  <c r="Q120" i="152"/>
  <c r="T120" i="152" s="1"/>
  <c r="Q130" i="152"/>
  <c r="T130" i="152" s="1"/>
  <c r="M165" i="83"/>
  <c r="M166" i="83" s="1"/>
  <c r="K193" i="83"/>
  <c r="O176" i="108"/>
  <c r="I134" i="119"/>
  <c r="O134" i="119"/>
  <c r="F189" i="108"/>
  <c r="Q165" i="119"/>
  <c r="U165" i="119" s="1"/>
  <c r="Q136" i="123"/>
  <c r="T136" i="123" s="1"/>
  <c r="Q138" i="123"/>
  <c r="T138" i="123" s="1"/>
  <c r="P185" i="108"/>
  <c r="H189" i="108"/>
  <c r="P189" i="108"/>
  <c r="Q133" i="124"/>
  <c r="T133" i="124" s="1"/>
  <c r="P162" i="124"/>
  <c r="Q136" i="125"/>
  <c r="T136" i="125" s="1"/>
  <c r="Q140" i="125"/>
  <c r="T140" i="125" s="1"/>
  <c r="Q146" i="125"/>
  <c r="Q148" i="125"/>
  <c r="T148" i="125" s="1"/>
  <c r="Q150" i="125"/>
  <c r="T150" i="125" s="1"/>
  <c r="Q149" i="126"/>
  <c r="E162" i="126"/>
  <c r="P131" i="136"/>
  <c r="P23" i="136" s="1"/>
  <c r="P95" i="136" s="1"/>
  <c r="P97" i="136" s="1"/>
  <c r="Q140" i="152"/>
  <c r="T140" i="152" s="1"/>
  <c r="E142" i="152"/>
  <c r="Q169" i="154"/>
  <c r="U169" i="154" s="1"/>
  <c r="Q147" i="123"/>
  <c r="T147" i="123" s="1"/>
  <c r="Q46" i="18"/>
  <c r="J134" i="119"/>
  <c r="Q133" i="119"/>
  <c r="Q138" i="119"/>
  <c r="U138" i="119" s="1"/>
  <c r="Q140" i="119"/>
  <c r="U140" i="119" s="1"/>
  <c r="G153" i="119"/>
  <c r="O153" i="119"/>
  <c r="Q161" i="119"/>
  <c r="F205" i="108"/>
  <c r="F70" i="18" s="1"/>
  <c r="N205" i="108"/>
  <c r="N70" i="18" s="1"/>
  <c r="Q133" i="123"/>
  <c r="T133" i="123" s="1"/>
  <c r="M186" i="108"/>
  <c r="Q148" i="123"/>
  <c r="T148" i="123" s="1"/>
  <c r="M190" i="108"/>
  <c r="I205" i="108"/>
  <c r="F134" i="124"/>
  <c r="N134" i="124"/>
  <c r="I153" i="124"/>
  <c r="Q146" i="124"/>
  <c r="T146" i="124" s="1"/>
  <c r="Q150" i="124"/>
  <c r="T150" i="124" s="1"/>
  <c r="E134" i="125"/>
  <c r="Q165" i="125"/>
  <c r="T165" i="125" s="1"/>
  <c r="P12" i="149"/>
  <c r="I156" i="134"/>
  <c r="Q154" i="134"/>
  <c r="Q172" i="83"/>
  <c r="E193" i="83"/>
  <c r="M193" i="83"/>
  <c r="Q162" i="154"/>
  <c r="Q177" i="154"/>
  <c r="U177" i="154" s="1"/>
  <c r="Q193" i="154"/>
  <c r="U193" i="154" s="1"/>
  <c r="J187" i="108"/>
  <c r="Q160" i="123"/>
  <c r="J153" i="124"/>
  <c r="E162" i="124"/>
  <c r="M162" i="124"/>
  <c r="Q161" i="124"/>
  <c r="Q161" i="125"/>
  <c r="T161" i="125" s="1"/>
  <c r="K147" i="134"/>
  <c r="J156" i="134"/>
  <c r="P165" i="83"/>
  <c r="P166" i="83" s="1"/>
  <c r="F193" i="83"/>
  <c r="Q173" i="139"/>
  <c r="T173" i="139" s="1"/>
  <c r="Q174" i="139"/>
  <c r="T174" i="139" s="1"/>
  <c r="Q192" i="139"/>
  <c r="E190" i="154"/>
  <c r="Q189" i="154"/>
  <c r="U189" i="154" s="1"/>
  <c r="Q148" i="119"/>
  <c r="U148" i="119" s="1"/>
  <c r="Q150" i="119"/>
  <c r="U150" i="119" s="1"/>
  <c r="G188" i="108"/>
  <c r="O188" i="108"/>
  <c r="Q137" i="124"/>
  <c r="Q139" i="124"/>
  <c r="T139" i="124" s="1"/>
  <c r="Q140" i="126"/>
  <c r="T133" i="134"/>
  <c r="L114" i="152"/>
  <c r="Q117" i="152"/>
  <c r="T117" i="152" s="1"/>
  <c r="Q129" i="152"/>
  <c r="T129" i="152" s="1"/>
  <c r="N125" i="122"/>
  <c r="J116" i="132"/>
  <c r="T126" i="151"/>
  <c r="N12" i="147"/>
  <c r="F12" i="139"/>
  <c r="Q96" i="132"/>
  <c r="I155" i="132"/>
  <c r="P155" i="132"/>
  <c r="H155" i="132"/>
  <c r="Q116" i="130"/>
  <c r="T116" i="130" s="1"/>
  <c r="Q41" i="132"/>
  <c r="Q71" i="132"/>
  <c r="Q59" i="132"/>
  <c r="Q55" i="132"/>
  <c r="T179" i="140"/>
  <c r="T183" i="140"/>
  <c r="T170" i="140"/>
  <c r="T178" i="140"/>
  <c r="T182" i="140"/>
  <c r="O129" i="148"/>
  <c r="E13" i="108"/>
  <c r="E152" i="108" s="1"/>
  <c r="M13" i="108"/>
  <c r="I125" i="122"/>
  <c r="Q124" i="122"/>
  <c r="M125" i="122"/>
  <c r="G129" i="148"/>
  <c r="K129" i="148"/>
  <c r="P20" i="132"/>
  <c r="L20" i="132"/>
  <c r="G12" i="147"/>
  <c r="T115" i="151"/>
  <c r="T122" i="138"/>
  <c r="T129" i="138"/>
  <c r="T103" i="151"/>
  <c r="T114" i="138"/>
  <c r="T116" i="151"/>
  <c r="T123" i="138"/>
  <c r="T130" i="138"/>
  <c r="N65" i="18"/>
  <c r="N66" i="18" s="1"/>
  <c r="T133" i="138"/>
  <c r="T102" i="151"/>
  <c r="T122" i="151"/>
  <c r="T134" i="138"/>
  <c r="T180" i="140"/>
  <c r="T184" i="140"/>
  <c r="T107" i="138"/>
  <c r="T113" i="138"/>
  <c r="T114" i="151"/>
  <c r="T111" i="151"/>
  <c r="T119" i="138"/>
  <c r="T126" i="138"/>
  <c r="U27" i="155"/>
  <c r="Q119" i="147"/>
  <c r="K12" i="147"/>
  <c r="H198" i="83"/>
  <c r="L198" i="83"/>
  <c r="P198" i="83"/>
  <c r="G195" i="142"/>
  <c r="G12" i="142" s="1"/>
  <c r="P117" i="127"/>
  <c r="P11" i="127" s="1"/>
  <c r="P36" i="122"/>
  <c r="G195" i="139"/>
  <c r="G12" i="139" s="1"/>
  <c r="J195" i="143"/>
  <c r="J12" i="143" s="1"/>
  <c r="H195" i="143"/>
  <c r="H12" i="143" s="1"/>
  <c r="J195" i="140"/>
  <c r="J12" i="140" s="1"/>
  <c r="L135" i="135"/>
  <c r="L27" i="135" s="1"/>
  <c r="K135" i="135"/>
  <c r="K27" i="135" s="1"/>
  <c r="N90" i="108"/>
  <c r="M117" i="130"/>
  <c r="M11" i="130" s="1"/>
  <c r="I117" i="130"/>
  <c r="I11" i="130" s="1"/>
  <c r="I127" i="132"/>
  <c r="L146" i="132"/>
  <c r="P146" i="132"/>
  <c r="H146" i="132"/>
  <c r="F146" i="132"/>
  <c r="J146" i="132"/>
  <c r="K198" i="83"/>
  <c r="E198" i="83"/>
  <c r="I43" i="83"/>
  <c r="G198" i="83"/>
  <c r="O198" i="83"/>
  <c r="E43" i="83"/>
  <c r="T100" i="127"/>
  <c r="T104" i="127"/>
  <c r="Q180" i="90"/>
  <c r="V180" i="90" s="1"/>
  <c r="F90" i="108"/>
  <c r="K195" i="142"/>
  <c r="K12" i="142" s="1"/>
  <c r="Q170" i="83"/>
  <c r="U170" i="83" s="1"/>
  <c r="K175" i="83"/>
  <c r="O195" i="142"/>
  <c r="O12" i="142" s="1"/>
  <c r="M195" i="142"/>
  <c r="M12" i="142" s="1"/>
  <c r="M175" i="83"/>
  <c r="E185" i="83"/>
  <c r="T181" i="140"/>
  <c r="Q185" i="140"/>
  <c r="T185" i="140" s="1"/>
  <c r="T177" i="140"/>
  <c r="Q166" i="140"/>
  <c r="T166" i="140" s="1"/>
  <c r="J175" i="83"/>
  <c r="N175" i="83"/>
  <c r="P195" i="139"/>
  <c r="P12" i="139" s="1"/>
  <c r="H195" i="139"/>
  <c r="H12" i="139" s="1"/>
  <c r="H175" i="83"/>
  <c r="F175" i="83"/>
  <c r="G175" i="83"/>
  <c r="O195" i="139"/>
  <c r="O12" i="139" s="1"/>
  <c r="G135" i="135"/>
  <c r="G27" i="135" s="1"/>
  <c r="I135" i="135"/>
  <c r="I27" i="135" s="1"/>
  <c r="M135" i="135"/>
  <c r="M27" i="135" s="1"/>
  <c r="O135" i="135"/>
  <c r="O27" i="135" s="1"/>
  <c r="J135" i="135"/>
  <c r="J27" i="135" s="1"/>
  <c r="H135" i="135"/>
  <c r="H27" i="135" s="1"/>
  <c r="E135" i="135"/>
  <c r="E27" i="135" s="1"/>
  <c r="F135" i="135"/>
  <c r="F27" i="135" s="1"/>
  <c r="U103" i="147"/>
  <c r="O12" i="147"/>
  <c r="I12" i="147"/>
  <c r="J12" i="147"/>
  <c r="Q137" i="121"/>
  <c r="T137" i="121" s="1"/>
  <c r="T68" i="121"/>
  <c r="O123" i="148"/>
  <c r="O12" i="148" s="1"/>
  <c r="F123" i="148"/>
  <c r="F12" i="148" s="1"/>
  <c r="M123" i="148"/>
  <c r="M12" i="148" s="1"/>
  <c r="L36" i="122"/>
  <c r="Q143" i="122"/>
  <c r="J36" i="122"/>
  <c r="I36" i="122"/>
  <c r="Q134" i="122"/>
  <c r="K117" i="130"/>
  <c r="K11" i="130" s="1"/>
  <c r="O117" i="130"/>
  <c r="O11" i="130" s="1"/>
  <c r="E146" i="132"/>
  <c r="Q107" i="130"/>
  <c r="T107" i="130" s="1"/>
  <c r="Q90" i="130"/>
  <c r="Q97" i="130" s="1"/>
  <c r="N117" i="130"/>
  <c r="N11" i="130" s="1"/>
  <c r="J117" i="130"/>
  <c r="J11" i="130" s="1"/>
  <c r="E11" i="130"/>
  <c r="E118" i="130" s="1"/>
  <c r="F117" i="130"/>
  <c r="F11" i="130" s="1"/>
  <c r="O127" i="132"/>
  <c r="L127" i="132"/>
  <c r="P127" i="132"/>
  <c r="K127" i="132"/>
  <c r="Q139" i="132"/>
  <c r="Q140" i="132"/>
  <c r="I146" i="132"/>
  <c r="M146" i="132"/>
  <c r="Q141" i="132"/>
  <c r="Q142" i="132"/>
  <c r="Q144" i="132"/>
  <c r="O117" i="127"/>
  <c r="O11" i="127" s="1"/>
  <c r="E117" i="127"/>
  <c r="E11" i="127" s="1"/>
  <c r="Q135" i="132"/>
  <c r="K117" i="127"/>
  <c r="K11" i="127" s="1"/>
  <c r="Q131" i="132"/>
  <c r="G117" i="127"/>
  <c r="G11" i="127" s="1"/>
  <c r="I117" i="127"/>
  <c r="I11" i="127" s="1"/>
  <c r="F117" i="127"/>
  <c r="F11" i="127" s="1"/>
  <c r="L117" i="127"/>
  <c r="L11" i="127" s="1"/>
  <c r="H117" i="127"/>
  <c r="H11" i="127" s="1"/>
  <c r="Q124" i="132"/>
  <c r="H125" i="132"/>
  <c r="Q125" i="132" s="1"/>
  <c r="G159" i="132"/>
  <c r="O159" i="132"/>
  <c r="O70" i="18" s="1"/>
  <c r="M198" i="83"/>
  <c r="I198" i="83"/>
  <c r="G43" i="83"/>
  <c r="Q168" i="143"/>
  <c r="Q175" i="143" s="1"/>
  <c r="J117" i="127"/>
  <c r="J11" i="127" s="1"/>
  <c r="L123" i="148"/>
  <c r="L12" i="148" s="1"/>
  <c r="I123" i="148"/>
  <c r="I12" i="148" s="1"/>
  <c r="P123" i="148"/>
  <c r="P12" i="148" s="1"/>
  <c r="G123" i="148"/>
  <c r="G12" i="148" s="1"/>
  <c r="Q92" i="148"/>
  <c r="U92" i="148" s="1"/>
  <c r="Q108" i="148"/>
  <c r="U108" i="148" s="1"/>
  <c r="Q105" i="148"/>
  <c r="U105" i="148" s="1"/>
  <c r="Q104" i="148"/>
  <c r="U104" i="148" s="1"/>
  <c r="E185" i="108"/>
  <c r="E189" i="108"/>
  <c r="E186" i="108"/>
  <c r="Q164" i="83"/>
  <c r="U164" i="83" s="1"/>
  <c r="E166" i="83"/>
  <c r="I12" i="153"/>
  <c r="Q183" i="153"/>
  <c r="N12" i="153"/>
  <c r="E12" i="153"/>
  <c r="O12" i="153"/>
  <c r="H12" i="153"/>
  <c r="K12" i="153"/>
  <c r="L12" i="153"/>
  <c r="P12" i="153"/>
  <c r="M12" i="90"/>
  <c r="J12" i="90"/>
  <c r="N12" i="90"/>
  <c r="Q166" i="90"/>
  <c r="V164" i="90"/>
  <c r="M159" i="132"/>
  <c r="H159" i="132"/>
  <c r="L159" i="132"/>
  <c r="P159" i="132"/>
  <c r="Q170" i="90"/>
  <c r="V170" i="90" s="1"/>
  <c r="M12" i="93"/>
  <c r="Q179" i="93"/>
  <c r="U179" i="93" s="1"/>
  <c r="Q180" i="93"/>
  <c r="U180" i="93" s="1"/>
  <c r="Q181" i="93"/>
  <c r="U181" i="93" s="1"/>
  <c r="Q183" i="93"/>
  <c r="U183" i="93" s="1"/>
  <c r="Q192" i="93"/>
  <c r="Q168" i="153"/>
  <c r="J12" i="153"/>
  <c r="I159" i="132"/>
  <c r="E12" i="143"/>
  <c r="M12" i="153"/>
  <c r="M85" i="18"/>
  <c r="I85" i="18"/>
  <c r="T72" i="127"/>
  <c r="K85" i="18"/>
  <c r="J20" i="132"/>
  <c r="Q42" i="132"/>
  <c r="Q45" i="132"/>
  <c r="Q50" i="132"/>
  <c r="Q52" i="132"/>
  <c r="Q58" i="132"/>
  <c r="Q66" i="132"/>
  <c r="Q72" i="132"/>
  <c r="Q82" i="132"/>
  <c r="Q88" i="132"/>
  <c r="Q100" i="132"/>
  <c r="G146" i="132"/>
  <c r="K146" i="132"/>
  <c r="O146" i="132"/>
  <c r="G155" i="132"/>
  <c r="K155" i="132"/>
  <c r="O155" i="132"/>
  <c r="T21" i="127"/>
  <c r="T28" i="127"/>
  <c r="T44" i="127"/>
  <c r="T60" i="127"/>
  <c r="Q88" i="127"/>
  <c r="T87" i="127"/>
  <c r="M117" i="127"/>
  <c r="M11" i="127" s="1"/>
  <c r="Q90" i="127"/>
  <c r="T92" i="127"/>
  <c r="T25" i="130"/>
  <c r="T42" i="130"/>
  <c r="Q88" i="130"/>
  <c r="T86" i="130"/>
  <c r="F20" i="132"/>
  <c r="Q116" i="127"/>
  <c r="T114" i="127"/>
  <c r="Q27" i="18"/>
  <c r="Q64" i="18"/>
  <c r="O85" i="18"/>
  <c r="H20" i="132"/>
  <c r="N20" i="132"/>
  <c r="Q37" i="132"/>
  <c r="Q53" i="132"/>
  <c r="Q73" i="132"/>
  <c r="Q89" i="132"/>
  <c r="Q101" i="132"/>
  <c r="Q130" i="132"/>
  <c r="Q143" i="132"/>
  <c r="E155" i="132"/>
  <c r="T17" i="127"/>
  <c r="T24" i="127"/>
  <c r="T40" i="127"/>
  <c r="T56" i="127"/>
  <c r="T80" i="127"/>
  <c r="T103" i="127"/>
  <c r="T14" i="130"/>
  <c r="T87" i="130"/>
  <c r="G85" i="18"/>
  <c r="T32" i="127"/>
  <c r="T48" i="127"/>
  <c r="T64" i="127"/>
  <c r="N85" i="18"/>
  <c r="Q45" i="18"/>
  <c r="Q49" i="18"/>
  <c r="Q27" i="132"/>
  <c r="Q38" i="132"/>
  <c r="Q48" i="132"/>
  <c r="Q54" i="132"/>
  <c r="Q62" i="132"/>
  <c r="Q69" i="132"/>
  <c r="Q74" i="132"/>
  <c r="Q80" i="132"/>
  <c r="Q85" i="132"/>
  <c r="Q90" i="132"/>
  <c r="Q92" i="132"/>
  <c r="Q97" i="132"/>
  <c r="Q102" i="132"/>
  <c r="Q108" i="132"/>
  <c r="Q138" i="132"/>
  <c r="Q145" i="132"/>
  <c r="Q148" i="132"/>
  <c r="T36" i="127"/>
  <c r="T52" i="127"/>
  <c r="T68" i="127"/>
  <c r="T76" i="127"/>
  <c r="T99" i="127"/>
  <c r="Q17" i="119"/>
  <c r="U12" i="119"/>
  <c r="H31" i="119"/>
  <c r="H27" i="119"/>
  <c r="H12" i="108"/>
  <c r="P31" i="119"/>
  <c r="P27" i="119"/>
  <c r="P12" i="108"/>
  <c r="M32" i="119"/>
  <c r="M34" i="119" s="1"/>
  <c r="M30" i="108"/>
  <c r="U106" i="119"/>
  <c r="P176" i="108"/>
  <c r="K28" i="123"/>
  <c r="K131" i="147" s="1"/>
  <c r="T89" i="123"/>
  <c r="H85" i="18"/>
  <c r="L85" i="18"/>
  <c r="I20" i="132"/>
  <c r="M20" i="132"/>
  <c r="G20" i="132"/>
  <c r="K20" i="132"/>
  <c r="O20" i="132"/>
  <c r="Q28" i="132"/>
  <c r="F129" i="132"/>
  <c r="H117" i="130"/>
  <c r="H11" i="130" s="1"/>
  <c r="T97" i="131"/>
  <c r="Q48" i="108"/>
  <c r="V48" i="108" s="1"/>
  <c r="Q63" i="108"/>
  <c r="Q64" i="108"/>
  <c r="Q78" i="108"/>
  <c r="Q105" i="108"/>
  <c r="Q110" i="108"/>
  <c r="Q116" i="108"/>
  <c r="Q122" i="108"/>
  <c r="Q123" i="108"/>
  <c r="Q128" i="108"/>
  <c r="Q157" i="108"/>
  <c r="V157" i="108" s="1"/>
  <c r="V140" i="108"/>
  <c r="Q161" i="108"/>
  <c r="V161" i="108" s="1"/>
  <c r="V144" i="108"/>
  <c r="Q197" i="108"/>
  <c r="U57" i="119"/>
  <c r="U60" i="119"/>
  <c r="U71" i="119"/>
  <c r="U79" i="119"/>
  <c r="U87" i="119"/>
  <c r="Q136" i="119"/>
  <c r="Q137" i="119"/>
  <c r="F153" i="119"/>
  <c r="J153" i="119"/>
  <c r="N153" i="119"/>
  <c r="Q146" i="119"/>
  <c r="O28" i="123"/>
  <c r="O131" i="147" s="1"/>
  <c r="T33" i="123"/>
  <c r="R33" i="123"/>
  <c r="T49" i="123"/>
  <c r="T62" i="123"/>
  <c r="T69" i="123"/>
  <c r="T85" i="123"/>
  <c r="T104" i="123"/>
  <c r="F176" i="108"/>
  <c r="J176" i="108"/>
  <c r="N176" i="108"/>
  <c r="Q137" i="123"/>
  <c r="Q95" i="131"/>
  <c r="E32" i="119"/>
  <c r="E34" i="119" s="1"/>
  <c r="E30" i="108"/>
  <c r="I32" i="119"/>
  <c r="I54" i="108" s="1"/>
  <c r="I30" i="108"/>
  <c r="M27" i="119"/>
  <c r="M28" i="119" s="1"/>
  <c r="U91" i="119"/>
  <c r="H176" i="108"/>
  <c r="O34" i="123"/>
  <c r="T53" i="123"/>
  <c r="Q15" i="18"/>
  <c r="Q123" i="132"/>
  <c r="Q154" i="132"/>
  <c r="Y159" i="154" s="1"/>
  <c r="T100" i="130"/>
  <c r="T86" i="131"/>
  <c r="Q95" i="144"/>
  <c r="Q101" i="108"/>
  <c r="Q117" i="108"/>
  <c r="Q124" i="108"/>
  <c r="K54" i="108"/>
  <c r="O54" i="108"/>
  <c r="E27" i="119"/>
  <c r="U102" i="119"/>
  <c r="H134" i="119"/>
  <c r="H171" i="108"/>
  <c r="L134" i="119"/>
  <c r="L171" i="108"/>
  <c r="P134" i="119"/>
  <c r="P171" i="108"/>
  <c r="E199" i="108"/>
  <c r="E162" i="119"/>
  <c r="I199" i="108"/>
  <c r="I162" i="119"/>
  <c r="M199" i="108"/>
  <c r="M162" i="119"/>
  <c r="Q159" i="119"/>
  <c r="P34" i="123"/>
  <c r="Q32" i="123"/>
  <c r="G34" i="123"/>
  <c r="T100" i="123"/>
  <c r="H136" i="108"/>
  <c r="H125" i="123"/>
  <c r="L136" i="108"/>
  <c r="L125" i="123"/>
  <c r="P136" i="108"/>
  <c r="P125" i="123"/>
  <c r="Q131" i="123"/>
  <c r="Q139" i="123"/>
  <c r="L31" i="119"/>
  <c r="L27" i="119"/>
  <c r="L28" i="119" s="1"/>
  <c r="L12" i="108"/>
  <c r="L176" i="108"/>
  <c r="T12" i="123"/>
  <c r="Q43" i="18"/>
  <c r="F85" i="18"/>
  <c r="J85" i="18"/>
  <c r="F115" i="144"/>
  <c r="F11" i="144" s="1"/>
  <c r="J115" i="144"/>
  <c r="J11" i="144" s="1"/>
  <c r="N115" i="144"/>
  <c r="N11" i="144" s="1"/>
  <c r="Q93" i="108"/>
  <c r="Q102" i="108"/>
  <c r="Q108" i="108"/>
  <c r="Q120" i="108"/>
  <c r="Q159" i="108"/>
  <c r="V159" i="108" s="1"/>
  <c r="V142" i="108"/>
  <c r="G34" i="119"/>
  <c r="K34" i="119"/>
  <c r="O34" i="119"/>
  <c r="I27" i="119"/>
  <c r="U53" i="119"/>
  <c r="U64" i="119"/>
  <c r="U67" i="119"/>
  <c r="U75" i="119"/>
  <c r="U83" i="119"/>
  <c r="Q95" i="119"/>
  <c r="G125" i="119"/>
  <c r="G134" i="108"/>
  <c r="G127" i="119"/>
  <c r="K125" i="119"/>
  <c r="K134" i="108"/>
  <c r="K127" i="119"/>
  <c r="O125" i="119"/>
  <c r="O134" i="108"/>
  <c r="O127" i="119"/>
  <c r="U132" i="119"/>
  <c r="Q149" i="119"/>
  <c r="U155" i="119"/>
  <c r="F162" i="119"/>
  <c r="J162" i="119"/>
  <c r="N162" i="119"/>
  <c r="Q160" i="119"/>
  <c r="E34" i="123"/>
  <c r="I34" i="123"/>
  <c r="Q25" i="123"/>
  <c r="T25" i="123" s="1"/>
  <c r="T20" i="123"/>
  <c r="G28" i="123"/>
  <c r="G131" i="147" s="1"/>
  <c r="K34" i="123"/>
  <c r="T41" i="123"/>
  <c r="T93" i="123"/>
  <c r="F171" i="108"/>
  <c r="J171" i="108"/>
  <c r="N171" i="108"/>
  <c r="Q140" i="123"/>
  <c r="Q146" i="123"/>
  <c r="Q150" i="123"/>
  <c r="Q159" i="123"/>
  <c r="W201" i="108" s="1"/>
  <c r="Q165" i="123"/>
  <c r="T165" i="123" s="1"/>
  <c r="T86" i="124"/>
  <c r="N125" i="124"/>
  <c r="K27" i="125"/>
  <c r="K28" i="125" s="1"/>
  <c r="K132" i="147" s="1"/>
  <c r="T40" i="125"/>
  <c r="T94" i="125"/>
  <c r="Q137" i="125"/>
  <c r="U23" i="148"/>
  <c r="U40" i="148"/>
  <c r="U67" i="148"/>
  <c r="T53" i="126"/>
  <c r="T69" i="126"/>
  <c r="T85" i="126"/>
  <c r="T56" i="121"/>
  <c r="T88" i="121"/>
  <c r="T100" i="121"/>
  <c r="T151" i="121"/>
  <c r="U79" i="147"/>
  <c r="T15" i="149"/>
  <c r="U39" i="81"/>
  <c r="Q159" i="134"/>
  <c r="T159" i="134" s="1"/>
  <c r="H90" i="108"/>
  <c r="L90" i="108"/>
  <c r="P90" i="108"/>
  <c r="F27" i="119"/>
  <c r="J27" i="119"/>
  <c r="N27" i="119"/>
  <c r="F31" i="119"/>
  <c r="J31" i="119"/>
  <c r="N31" i="119"/>
  <c r="E125" i="119"/>
  <c r="I125" i="119"/>
  <c r="M125" i="119"/>
  <c r="Q131" i="119"/>
  <c r="E153" i="119"/>
  <c r="H28" i="123"/>
  <c r="H131" i="147" s="1"/>
  <c r="L28" i="123"/>
  <c r="L131" i="147" s="1"/>
  <c r="P28" i="123"/>
  <c r="P131" i="147" s="1"/>
  <c r="Q117" i="123"/>
  <c r="Q122" i="123"/>
  <c r="T122" i="123" s="1"/>
  <c r="G125" i="123"/>
  <c r="K125" i="123"/>
  <c r="O125" i="123"/>
  <c r="Q145" i="123"/>
  <c r="P34" i="124"/>
  <c r="Q25" i="124"/>
  <c r="T25" i="124" s="1"/>
  <c r="T46" i="124"/>
  <c r="T58" i="124"/>
  <c r="T82" i="124"/>
  <c r="T98" i="124"/>
  <c r="Q131" i="124"/>
  <c r="Q138" i="124"/>
  <c r="G153" i="124"/>
  <c r="K153" i="124"/>
  <c r="O153" i="124"/>
  <c r="Q148" i="124"/>
  <c r="Q159" i="124"/>
  <c r="O27" i="125"/>
  <c r="O28" i="125" s="1"/>
  <c r="O132" i="147" s="1"/>
  <c r="T33" i="125"/>
  <c r="R33" i="125"/>
  <c r="T51" i="125"/>
  <c r="T78" i="125"/>
  <c r="T90" i="125"/>
  <c r="P125" i="125"/>
  <c r="Q138" i="125"/>
  <c r="Q147" i="125"/>
  <c r="T152" i="125"/>
  <c r="J129" i="148"/>
  <c r="N129" i="148"/>
  <c r="Q123" i="122"/>
  <c r="N36" i="122"/>
  <c r="U36" i="148"/>
  <c r="Q43" i="148"/>
  <c r="U44" i="148"/>
  <c r="U52" i="148"/>
  <c r="U114" i="148"/>
  <c r="U118" i="148"/>
  <c r="L27" i="126"/>
  <c r="L28" i="126" s="1"/>
  <c r="L134" i="147" s="1"/>
  <c r="P34" i="126"/>
  <c r="T49" i="126"/>
  <c r="T65" i="126"/>
  <c r="T81" i="126"/>
  <c r="T93" i="126"/>
  <c r="T101" i="126"/>
  <c r="N125" i="126"/>
  <c r="Q147" i="126"/>
  <c r="Q161" i="126"/>
  <c r="Q165" i="126"/>
  <c r="T165" i="126" s="1"/>
  <c r="Q121" i="121"/>
  <c r="T121" i="121" s="1"/>
  <c r="Q17" i="121"/>
  <c r="T12" i="121"/>
  <c r="G130" i="148"/>
  <c r="K130" i="148"/>
  <c r="O126" i="121"/>
  <c r="O130" i="148"/>
  <c r="G29" i="121"/>
  <c r="G133" i="147" s="1"/>
  <c r="T84" i="121"/>
  <c r="Q195" i="108"/>
  <c r="G27" i="119"/>
  <c r="K27" i="119"/>
  <c r="O27" i="119"/>
  <c r="U112" i="119"/>
  <c r="I28" i="123"/>
  <c r="I131" i="147" s="1"/>
  <c r="Q32" i="124"/>
  <c r="T42" i="124"/>
  <c r="T54" i="124"/>
  <c r="T78" i="124"/>
  <c r="T94" i="124"/>
  <c r="F125" i="124"/>
  <c r="Q132" i="124"/>
  <c r="Q140" i="124"/>
  <c r="T155" i="124"/>
  <c r="F162" i="124"/>
  <c r="J162" i="124"/>
  <c r="N162" i="124"/>
  <c r="Q160" i="124"/>
  <c r="E34" i="125"/>
  <c r="Q25" i="125"/>
  <c r="T25" i="125" s="1"/>
  <c r="T20" i="125"/>
  <c r="T55" i="125"/>
  <c r="T86" i="125"/>
  <c r="Q139" i="125"/>
  <c r="Q149" i="125"/>
  <c r="E162" i="125"/>
  <c r="J125" i="122"/>
  <c r="G36" i="122"/>
  <c r="O36" i="122"/>
  <c r="Q162" i="122"/>
  <c r="U60" i="148"/>
  <c r="U63" i="148"/>
  <c r="U79" i="148"/>
  <c r="J123" i="148"/>
  <c r="J12" i="148" s="1"/>
  <c r="U100" i="148"/>
  <c r="T45" i="126"/>
  <c r="T61" i="126"/>
  <c r="T77" i="126"/>
  <c r="E134" i="126"/>
  <c r="Q138" i="126"/>
  <c r="Q148" i="126"/>
  <c r="K29" i="121"/>
  <c r="K133" i="147" s="1"/>
  <c r="T53" i="121"/>
  <c r="T69" i="121"/>
  <c r="T80" i="121"/>
  <c r="T162" i="121"/>
  <c r="U105" i="147"/>
  <c r="T65" i="149"/>
  <c r="H31" i="108"/>
  <c r="L31" i="108"/>
  <c r="P31" i="108"/>
  <c r="F137" i="108"/>
  <c r="F154" i="108" s="1"/>
  <c r="J137" i="108"/>
  <c r="J154" i="108" s="1"/>
  <c r="N137" i="108"/>
  <c r="N154" i="108" s="1"/>
  <c r="U26" i="119"/>
  <c r="F28" i="123"/>
  <c r="F131" i="147" s="1"/>
  <c r="J28" i="123"/>
  <c r="J131" i="147" s="1"/>
  <c r="N28" i="123"/>
  <c r="N131" i="147" s="1"/>
  <c r="F31" i="124"/>
  <c r="F34" i="124" s="1"/>
  <c r="F27" i="124"/>
  <c r="F28" i="124" s="1"/>
  <c r="J31" i="124"/>
  <c r="J34" i="124" s="1"/>
  <c r="J27" i="124"/>
  <c r="J28" i="124" s="1"/>
  <c r="N31" i="124"/>
  <c r="N34" i="124" s="1"/>
  <c r="N27" i="124"/>
  <c r="N28" i="124" s="1"/>
  <c r="T67" i="124"/>
  <c r="T74" i="124"/>
  <c r="T90" i="124"/>
  <c r="J125" i="124"/>
  <c r="G134" i="124"/>
  <c r="K134" i="124"/>
  <c r="O134" i="124"/>
  <c r="Q136" i="124"/>
  <c r="Q165" i="124"/>
  <c r="T165" i="124" s="1"/>
  <c r="T12" i="125"/>
  <c r="G27" i="125"/>
  <c r="G28" i="125" s="1"/>
  <c r="G132" i="147" s="1"/>
  <c r="T82" i="125"/>
  <c r="Q120" i="122"/>
  <c r="Q117" i="122"/>
  <c r="H125" i="122"/>
  <c r="L125" i="122"/>
  <c r="P125" i="122"/>
  <c r="U48" i="148"/>
  <c r="U56" i="148"/>
  <c r="U75" i="148"/>
  <c r="K123" i="148"/>
  <c r="K12" i="148" s="1"/>
  <c r="N123" i="148"/>
  <c r="N12" i="148" s="1"/>
  <c r="Q94" i="148"/>
  <c r="T41" i="126"/>
  <c r="T57" i="126"/>
  <c r="T73" i="126"/>
  <c r="T89" i="126"/>
  <c r="T97" i="126"/>
  <c r="T105" i="126"/>
  <c r="T155" i="126"/>
  <c r="Q159" i="126"/>
  <c r="W204" i="108" s="1"/>
  <c r="Q123" i="121"/>
  <c r="T123" i="121" s="1"/>
  <c r="T14" i="121"/>
  <c r="Q25" i="121"/>
  <c r="T20" i="121"/>
  <c r="O29" i="121"/>
  <c r="O133" i="147" s="1"/>
  <c r="T92" i="121"/>
  <c r="T104" i="121"/>
  <c r="F126" i="121"/>
  <c r="J126" i="121"/>
  <c r="N126" i="121"/>
  <c r="G126" i="121"/>
  <c r="U52" i="147"/>
  <c r="T35" i="149"/>
  <c r="T39" i="124"/>
  <c r="Q120" i="124"/>
  <c r="T120" i="124" s="1"/>
  <c r="G125" i="124"/>
  <c r="K125" i="124"/>
  <c r="O125" i="124"/>
  <c r="E127" i="124"/>
  <c r="I127" i="124"/>
  <c r="M127" i="124"/>
  <c r="Q145" i="124"/>
  <c r="H27" i="125"/>
  <c r="H28" i="125" s="1"/>
  <c r="H132" i="147" s="1"/>
  <c r="L27" i="125"/>
  <c r="L28" i="125" s="1"/>
  <c r="L132" i="147" s="1"/>
  <c r="P27" i="125"/>
  <c r="P28" i="125" s="1"/>
  <c r="P132" i="147" s="1"/>
  <c r="Q117" i="125"/>
  <c r="E125" i="125"/>
  <c r="I125" i="125"/>
  <c r="M125" i="125"/>
  <c r="G125" i="122"/>
  <c r="K125" i="122"/>
  <c r="O125" i="122"/>
  <c r="F36" i="122"/>
  <c r="H129" i="148"/>
  <c r="L129" i="148"/>
  <c r="P129" i="148"/>
  <c r="E27" i="126"/>
  <c r="I27" i="126"/>
  <c r="I28" i="126" s="1"/>
  <c r="I134" i="147" s="1"/>
  <c r="M27" i="126"/>
  <c r="M28" i="126" s="1"/>
  <c r="M134" i="147" s="1"/>
  <c r="I34" i="126"/>
  <c r="M34" i="126"/>
  <c r="Q120" i="126"/>
  <c r="T120" i="126" s="1"/>
  <c r="Q124" i="126"/>
  <c r="T124" i="126" s="1"/>
  <c r="G125" i="126"/>
  <c r="K125" i="126"/>
  <c r="O125" i="126"/>
  <c r="Q136" i="126"/>
  <c r="Q145" i="126"/>
  <c r="H29" i="121"/>
  <c r="H133" i="147" s="1"/>
  <c r="L29" i="121"/>
  <c r="L133" i="147" s="1"/>
  <c r="P29" i="121"/>
  <c r="P133" i="147" s="1"/>
  <c r="T40" i="121"/>
  <c r="K126" i="121"/>
  <c r="Q163" i="121"/>
  <c r="T156" i="121"/>
  <c r="T160" i="121"/>
  <c r="Q19" i="146"/>
  <c r="E132" i="146"/>
  <c r="E24" i="146" s="1"/>
  <c r="I132" i="146"/>
  <c r="I24" i="146" s="1"/>
  <c r="I97" i="146" s="1"/>
  <c r="I98" i="146" s="1"/>
  <c r="M132" i="146"/>
  <c r="M24" i="146" s="1"/>
  <c r="M97" i="146" s="1"/>
  <c r="M98" i="146" s="1"/>
  <c r="U36" i="147"/>
  <c r="U40" i="147"/>
  <c r="U48" i="147"/>
  <c r="U60" i="147"/>
  <c r="U63" i="147"/>
  <c r="H12" i="147"/>
  <c r="L12" i="147"/>
  <c r="P12" i="147"/>
  <c r="T31" i="149"/>
  <c r="T58" i="149"/>
  <c r="T73" i="149"/>
  <c r="T80" i="149"/>
  <c r="T90" i="149"/>
  <c r="Q92" i="149"/>
  <c r="T97" i="149"/>
  <c r="T70" i="134"/>
  <c r="G147" i="134"/>
  <c r="T146" i="134"/>
  <c r="G27" i="124"/>
  <c r="G28" i="124" s="1"/>
  <c r="K27" i="124"/>
  <c r="K28" i="124" s="1"/>
  <c r="O27" i="124"/>
  <c r="O28" i="124" s="1"/>
  <c r="E27" i="125"/>
  <c r="I27" i="125"/>
  <c r="I28" i="125" s="1"/>
  <c r="I132" i="147" s="1"/>
  <c r="M27" i="125"/>
  <c r="M28" i="125" s="1"/>
  <c r="M132" i="147" s="1"/>
  <c r="Q159" i="125"/>
  <c r="W202" i="108" s="1"/>
  <c r="Q96" i="148"/>
  <c r="F27" i="126"/>
  <c r="F28" i="126" s="1"/>
  <c r="F134" i="147" s="1"/>
  <c r="J27" i="126"/>
  <c r="J28" i="126" s="1"/>
  <c r="J134" i="147" s="1"/>
  <c r="N27" i="126"/>
  <c r="N28" i="126" s="1"/>
  <c r="N134" i="147" s="1"/>
  <c r="T112" i="126"/>
  <c r="E29" i="121"/>
  <c r="E133" i="147" s="1"/>
  <c r="I29" i="121"/>
  <c r="I133" i="147" s="1"/>
  <c r="M29" i="121"/>
  <c r="M133" i="147" s="1"/>
  <c r="H126" i="121"/>
  <c r="L126" i="121"/>
  <c r="P126" i="121"/>
  <c r="T147" i="121"/>
  <c r="Q96" i="146"/>
  <c r="U44" i="147"/>
  <c r="U75" i="147"/>
  <c r="Q92" i="147"/>
  <c r="U90" i="147"/>
  <c r="M12" i="147"/>
  <c r="U94" i="147"/>
  <c r="T27" i="149"/>
  <c r="T43" i="149"/>
  <c r="T54" i="149"/>
  <c r="T76" i="149"/>
  <c r="T86" i="134"/>
  <c r="T71" i="135"/>
  <c r="H27" i="124"/>
  <c r="H28" i="124" s="1"/>
  <c r="L27" i="124"/>
  <c r="L28" i="124" s="1"/>
  <c r="P27" i="124"/>
  <c r="P28" i="124" s="1"/>
  <c r="F27" i="125"/>
  <c r="F28" i="125" s="1"/>
  <c r="F132" i="147" s="1"/>
  <c r="J27" i="125"/>
  <c r="J28" i="125" s="1"/>
  <c r="J132" i="147" s="1"/>
  <c r="N27" i="125"/>
  <c r="N28" i="125" s="1"/>
  <c r="N132" i="147" s="1"/>
  <c r="Q145" i="125"/>
  <c r="T155" i="125"/>
  <c r="G27" i="126"/>
  <c r="G28" i="126" s="1"/>
  <c r="G134" i="147" s="1"/>
  <c r="K27" i="126"/>
  <c r="K28" i="126" s="1"/>
  <c r="K134" i="147" s="1"/>
  <c r="O27" i="126"/>
  <c r="O28" i="126" s="1"/>
  <c r="O134" i="147" s="1"/>
  <c r="Q131" i="126"/>
  <c r="F29" i="121"/>
  <c r="F133" i="147" s="1"/>
  <c r="J29" i="121"/>
  <c r="J133" i="147" s="1"/>
  <c r="N29" i="121"/>
  <c r="N133" i="147" s="1"/>
  <c r="E126" i="121"/>
  <c r="I126" i="121"/>
  <c r="M126" i="121"/>
  <c r="T142" i="121"/>
  <c r="U23" i="147"/>
  <c r="U56" i="147"/>
  <c r="U67" i="147"/>
  <c r="E12" i="147"/>
  <c r="U100" i="147"/>
  <c r="U109" i="147"/>
  <c r="U118" i="147"/>
  <c r="T39" i="149"/>
  <c r="T50" i="149"/>
  <c r="T69" i="149"/>
  <c r="H12" i="149"/>
  <c r="T119" i="149"/>
  <c r="T96" i="134"/>
  <c r="T112" i="134"/>
  <c r="Q142" i="134"/>
  <c r="T74" i="136"/>
  <c r="T90" i="136"/>
  <c r="Q121" i="136"/>
  <c r="T121" i="136" s="1"/>
  <c r="T27" i="150"/>
  <c r="G155" i="152"/>
  <c r="G25" i="81"/>
  <c r="K155" i="152"/>
  <c r="K25" i="81"/>
  <c r="K13" i="18" s="1"/>
  <c r="O155" i="152"/>
  <c r="O25" i="81"/>
  <c r="F142" i="152"/>
  <c r="J142" i="152"/>
  <c r="N142" i="152"/>
  <c r="T38" i="139"/>
  <c r="T110" i="139"/>
  <c r="Q154" i="121"/>
  <c r="E22" i="146"/>
  <c r="E55" i="108" s="1"/>
  <c r="Q55" i="108" s="1"/>
  <c r="T102" i="149"/>
  <c r="Q110" i="149"/>
  <c r="Q53" i="81"/>
  <c r="U53" i="81" s="1"/>
  <c r="Q28" i="134"/>
  <c r="T59" i="134"/>
  <c r="T66" i="134"/>
  <c r="T82" i="134"/>
  <c r="E128" i="134"/>
  <c r="I128" i="134"/>
  <c r="M128" i="134"/>
  <c r="Q126" i="134"/>
  <c r="G156" i="134"/>
  <c r="T67" i="135"/>
  <c r="T83" i="135"/>
  <c r="Q106" i="135"/>
  <c r="T104" i="135"/>
  <c r="T121" i="135"/>
  <c r="T133" i="135"/>
  <c r="Q21" i="136"/>
  <c r="T86" i="136"/>
  <c r="H24" i="81"/>
  <c r="L24" i="81"/>
  <c r="P24" i="81"/>
  <c r="Q27" i="138"/>
  <c r="E42" i="81"/>
  <c r="T110" i="138"/>
  <c r="Q127" i="138"/>
  <c r="T127" i="138" s="1"/>
  <c r="T39" i="150"/>
  <c r="Q15" i="152"/>
  <c r="T12" i="152"/>
  <c r="T126" i="139"/>
  <c r="Q97" i="147"/>
  <c r="Q111" i="147"/>
  <c r="Q100" i="149"/>
  <c r="Q120" i="149"/>
  <c r="Q47" i="134"/>
  <c r="T62" i="134"/>
  <c r="T78" i="134"/>
  <c r="T104" i="134"/>
  <c r="Q127" i="134"/>
  <c r="E147" i="134"/>
  <c r="I147" i="134"/>
  <c r="M147" i="134"/>
  <c r="Q144" i="134"/>
  <c r="J147" i="134"/>
  <c r="K156" i="134"/>
  <c r="H19" i="81"/>
  <c r="L19" i="81"/>
  <c r="P19" i="81"/>
  <c r="T63" i="135"/>
  <c r="T79" i="135"/>
  <c r="E20" i="81"/>
  <c r="I20" i="81"/>
  <c r="I13" i="18" s="1"/>
  <c r="M20" i="81"/>
  <c r="M13" i="18" s="1"/>
  <c r="Q15" i="136"/>
  <c r="T82" i="136"/>
  <c r="H131" i="136"/>
  <c r="H23" i="136" s="1"/>
  <c r="H95" i="136" s="1"/>
  <c r="H97" i="136" s="1"/>
  <c r="G131" i="136"/>
  <c r="G23" i="136" s="1"/>
  <c r="G95" i="136" s="1"/>
  <c r="G97" i="136" s="1"/>
  <c r="K131" i="136"/>
  <c r="K23" i="136" s="1"/>
  <c r="K95" i="136" s="1"/>
  <c r="K97" i="136" s="1"/>
  <c r="O131" i="136"/>
  <c r="O23" i="136" s="1"/>
  <c r="O95" i="136" s="1"/>
  <c r="O97" i="136" s="1"/>
  <c r="Q108" i="138"/>
  <c r="E137" i="138"/>
  <c r="E29" i="138" s="1"/>
  <c r="E101" i="138" s="1"/>
  <c r="I137" i="138"/>
  <c r="I29" i="138" s="1"/>
  <c r="I101" i="138" s="1"/>
  <c r="M137" i="138"/>
  <c r="M29" i="138" s="1"/>
  <c r="M101" i="138" s="1"/>
  <c r="T35" i="150"/>
  <c r="Q140" i="150"/>
  <c r="Q149" i="150"/>
  <c r="F22" i="81"/>
  <c r="J22" i="81"/>
  <c r="N22" i="81"/>
  <c r="Q118" i="151"/>
  <c r="T118" i="151" s="1"/>
  <c r="Q34" i="152"/>
  <c r="T34" i="152" s="1"/>
  <c r="E106" i="152"/>
  <c r="E43" i="81" s="1"/>
  <c r="Q43" i="81" s="1"/>
  <c r="Q112" i="152"/>
  <c r="Q119" i="152"/>
  <c r="T50" i="139"/>
  <c r="T78" i="139"/>
  <c r="T142" i="139"/>
  <c r="G12" i="149"/>
  <c r="K12" i="149"/>
  <c r="O12" i="149"/>
  <c r="T106" i="149"/>
  <c r="T116" i="149"/>
  <c r="Q50" i="81"/>
  <c r="U50" i="81" s="1"/>
  <c r="Q87" i="81"/>
  <c r="T74" i="134"/>
  <c r="T100" i="134"/>
  <c r="T116" i="134"/>
  <c r="F128" i="134"/>
  <c r="J128" i="134"/>
  <c r="N128" i="134"/>
  <c r="Q131" i="134"/>
  <c r="Q140" i="134"/>
  <c r="N147" i="134"/>
  <c r="O156" i="134"/>
  <c r="Q25" i="135"/>
  <c r="T59" i="135"/>
  <c r="T75" i="135"/>
  <c r="P135" i="135"/>
  <c r="P27" i="135" s="1"/>
  <c r="T117" i="135"/>
  <c r="Q125" i="135"/>
  <c r="T78" i="136"/>
  <c r="I131" i="136"/>
  <c r="I23" i="136" s="1"/>
  <c r="I95" i="136" s="1"/>
  <c r="I97" i="136" s="1"/>
  <c r="M131" i="136"/>
  <c r="M23" i="136" s="1"/>
  <c r="M95" i="136" s="1"/>
  <c r="M97" i="136" s="1"/>
  <c r="Q102" i="136"/>
  <c r="F137" i="138"/>
  <c r="F29" i="138" s="1"/>
  <c r="F101" i="138" s="1"/>
  <c r="J137" i="138"/>
  <c r="J29" i="138" s="1"/>
  <c r="J101" i="138" s="1"/>
  <c r="N137" i="138"/>
  <c r="N29" i="138" s="1"/>
  <c r="N101" i="138" s="1"/>
  <c r="T31" i="150"/>
  <c r="H150" i="150"/>
  <c r="H42" i="150" s="1"/>
  <c r="L150" i="150"/>
  <c r="L42" i="150" s="1"/>
  <c r="L114" i="150" s="1"/>
  <c r="P150" i="150"/>
  <c r="P42" i="150" s="1"/>
  <c r="P114" i="150" s="1"/>
  <c r="Q18" i="151"/>
  <c r="T112" i="151"/>
  <c r="Q127" i="151"/>
  <c r="T127" i="151" s="1"/>
  <c r="T123" i="151"/>
  <c r="F114" i="152"/>
  <c r="J114" i="152"/>
  <c r="N114" i="152"/>
  <c r="Q113" i="152"/>
  <c r="E133" i="152"/>
  <c r="I133" i="152"/>
  <c r="M133" i="152"/>
  <c r="Q125" i="152"/>
  <c r="T22" i="139"/>
  <c r="T66" i="139"/>
  <c r="T94" i="139"/>
  <c r="T74" i="143"/>
  <c r="T94" i="149"/>
  <c r="Q14" i="135"/>
  <c r="E131" i="136"/>
  <c r="E23" i="136" s="1"/>
  <c r="Q18" i="138"/>
  <c r="Q22" i="138"/>
  <c r="T22" i="138" s="1"/>
  <c r="Q100" i="138"/>
  <c r="Q116" i="152"/>
  <c r="F133" i="152"/>
  <c r="J133" i="152"/>
  <c r="N133" i="152"/>
  <c r="Q126" i="152"/>
  <c r="G142" i="152"/>
  <c r="K142" i="152"/>
  <c r="O142" i="152"/>
  <c r="Q141" i="152"/>
  <c r="Q145" i="152"/>
  <c r="T145" i="152" s="1"/>
  <c r="Q150" i="152"/>
  <c r="T149" i="152"/>
  <c r="I155" i="152"/>
  <c r="Q18" i="83"/>
  <c r="Q24" i="83"/>
  <c r="Q29" i="83"/>
  <c r="Q34" i="83"/>
  <c r="Q40" i="83"/>
  <c r="Q48" i="83"/>
  <c r="Q53" i="83"/>
  <c r="Q58" i="83"/>
  <c r="Q64" i="83"/>
  <c r="Q69" i="83"/>
  <c r="Q76" i="83"/>
  <c r="Q81" i="83"/>
  <c r="Q88" i="83"/>
  <c r="Q94" i="83"/>
  <c r="Q99" i="83"/>
  <c r="Q105" i="83"/>
  <c r="Q110" i="83"/>
  <c r="Q115" i="83"/>
  <c r="Q121" i="83"/>
  <c r="Q126" i="83"/>
  <c r="Q131" i="83"/>
  <c r="Q137" i="83"/>
  <c r="Q142" i="83"/>
  <c r="Q147" i="83"/>
  <c r="Q153" i="83"/>
  <c r="E175" i="83"/>
  <c r="Q169" i="83"/>
  <c r="F185" i="83"/>
  <c r="J185" i="83"/>
  <c r="N185" i="83"/>
  <c r="Q191" i="83"/>
  <c r="T18" i="139"/>
  <c r="T34" i="139"/>
  <c r="T46" i="139"/>
  <c r="T62" i="139"/>
  <c r="T74" i="139"/>
  <c r="T90" i="139"/>
  <c r="T106" i="139"/>
  <c r="T122" i="139"/>
  <c r="T138" i="139"/>
  <c r="T154" i="139"/>
  <c r="J195" i="139"/>
  <c r="J12" i="139" s="1"/>
  <c r="T138" i="143"/>
  <c r="Q153" i="134"/>
  <c r="Q136" i="138"/>
  <c r="T136" i="138" s="1"/>
  <c r="T45" i="150"/>
  <c r="T23" i="151"/>
  <c r="G133" i="152"/>
  <c r="K133" i="152"/>
  <c r="O133" i="152"/>
  <c r="Q127" i="152"/>
  <c r="T138" i="152"/>
  <c r="H142" i="152"/>
  <c r="L142" i="152"/>
  <c r="P142" i="152"/>
  <c r="M155" i="152"/>
  <c r="Q15" i="83"/>
  <c r="Q25" i="83"/>
  <c r="Q41" i="83"/>
  <c r="Q49" i="83"/>
  <c r="Q65" i="83"/>
  <c r="Q72" i="83"/>
  <c r="Q106" i="83"/>
  <c r="Q122" i="83"/>
  <c r="Q138" i="83"/>
  <c r="Q154" i="83"/>
  <c r="T30" i="139"/>
  <c r="T58" i="139"/>
  <c r="T86" i="139"/>
  <c r="T102" i="139"/>
  <c r="T118" i="139"/>
  <c r="T134" i="139"/>
  <c r="T150" i="139"/>
  <c r="H43" i="83"/>
  <c r="L43" i="83"/>
  <c r="T75" i="140"/>
  <c r="Q168" i="140"/>
  <c r="I168" i="83"/>
  <c r="I175" i="83" s="1"/>
  <c r="T117" i="143"/>
  <c r="T177" i="143"/>
  <c r="Q185" i="143"/>
  <c r="Q139" i="134"/>
  <c r="T106" i="138"/>
  <c r="H133" i="152"/>
  <c r="L133" i="152"/>
  <c r="P133" i="152"/>
  <c r="Q128" i="152"/>
  <c r="Q139" i="152"/>
  <c r="Q16" i="83"/>
  <c r="Q26" i="83"/>
  <c r="Q32" i="83"/>
  <c r="Q42" i="83"/>
  <c r="Q50" i="83"/>
  <c r="Q56" i="83"/>
  <c r="Q66" i="83"/>
  <c r="Q73" i="83"/>
  <c r="Q79" i="83"/>
  <c r="Q97" i="83"/>
  <c r="Q107" i="83"/>
  <c r="Q113" i="83"/>
  <c r="Q123" i="83"/>
  <c r="Q129" i="83"/>
  <c r="Q139" i="83"/>
  <c r="Q145" i="83"/>
  <c r="Q155" i="83"/>
  <c r="H166" i="83"/>
  <c r="H185" i="83"/>
  <c r="L185" i="83"/>
  <c r="P185" i="83"/>
  <c r="Q189" i="83"/>
  <c r="T26" i="139"/>
  <c r="T42" i="139"/>
  <c r="T54" i="139"/>
  <c r="T82" i="139"/>
  <c r="T98" i="139"/>
  <c r="T114" i="139"/>
  <c r="T130" i="139"/>
  <c r="T146" i="139"/>
  <c r="T187" i="139"/>
  <c r="T89" i="140"/>
  <c r="U116" i="142"/>
  <c r="Q187" i="83"/>
  <c r="N195" i="139"/>
  <c r="N12" i="139" s="1"/>
  <c r="T78" i="140"/>
  <c r="T83" i="140"/>
  <c r="U132" i="142"/>
  <c r="T90" i="143"/>
  <c r="T133" i="143"/>
  <c r="L195" i="139"/>
  <c r="L12" i="139" s="1"/>
  <c r="T72" i="140"/>
  <c r="T91" i="140"/>
  <c r="Q169" i="140"/>
  <c r="U84" i="142"/>
  <c r="U148" i="142"/>
  <c r="T85" i="143"/>
  <c r="T106" i="143"/>
  <c r="T149" i="143"/>
  <c r="T154" i="143"/>
  <c r="V83" i="90"/>
  <c r="V178" i="90"/>
  <c r="I195" i="139"/>
  <c r="I12" i="139" s="1"/>
  <c r="M195" i="139"/>
  <c r="M12" i="139" s="1"/>
  <c r="Q165" i="139"/>
  <c r="Q166" i="139" s="1"/>
  <c r="T191" i="139"/>
  <c r="T80" i="140"/>
  <c r="U100" i="142"/>
  <c r="T101" i="143"/>
  <c r="T122" i="143"/>
  <c r="V61" i="90"/>
  <c r="V147" i="90"/>
  <c r="Q163" i="93"/>
  <c r="E12" i="139"/>
  <c r="Q197" i="140"/>
  <c r="J195" i="142"/>
  <c r="J12" i="142" s="1"/>
  <c r="N195" i="142"/>
  <c r="N12" i="142" s="1"/>
  <c r="Q168" i="142"/>
  <c r="T81" i="143"/>
  <c r="T86" i="143"/>
  <c r="T97" i="143"/>
  <c r="T102" i="143"/>
  <c r="T113" i="143"/>
  <c r="T118" i="143"/>
  <c r="T129" i="143"/>
  <c r="T134" i="143"/>
  <c r="T145" i="143"/>
  <c r="T150" i="143"/>
  <c r="V37" i="90"/>
  <c r="V99" i="90"/>
  <c r="T19" i="140"/>
  <c r="T140" i="140"/>
  <c r="T144" i="140"/>
  <c r="T148" i="140"/>
  <c r="T152" i="140"/>
  <c r="T156" i="140"/>
  <c r="T165" i="140"/>
  <c r="Q193" i="142"/>
  <c r="T77" i="143"/>
  <c r="T82" i="143"/>
  <c r="T93" i="143"/>
  <c r="T98" i="143"/>
  <c r="T109" i="143"/>
  <c r="T114" i="143"/>
  <c r="T125" i="143"/>
  <c r="T130" i="143"/>
  <c r="T141" i="143"/>
  <c r="T146" i="143"/>
  <c r="V32" i="90"/>
  <c r="V115" i="90"/>
  <c r="U169" i="93"/>
  <c r="Q168" i="139"/>
  <c r="U165" i="142"/>
  <c r="Q166" i="142"/>
  <c r="H195" i="142"/>
  <c r="H12" i="142" s="1"/>
  <c r="L195" i="142"/>
  <c r="L12" i="142" s="1"/>
  <c r="P195" i="142"/>
  <c r="P12" i="142" s="1"/>
  <c r="T73" i="143"/>
  <c r="T78" i="143"/>
  <c r="T89" i="143"/>
  <c r="T94" i="143"/>
  <c r="T105" i="143"/>
  <c r="T110" i="143"/>
  <c r="T121" i="143"/>
  <c r="T126" i="143"/>
  <c r="T137" i="143"/>
  <c r="T142" i="143"/>
  <c r="T190" i="143"/>
  <c r="V28" i="90"/>
  <c r="V45" i="90"/>
  <c r="V131" i="90"/>
  <c r="V33" i="90"/>
  <c r="V79" i="90"/>
  <c r="V95" i="90"/>
  <c r="V111" i="90"/>
  <c r="V127" i="90"/>
  <c r="V143" i="90"/>
  <c r="E12" i="90"/>
  <c r="Q169" i="90"/>
  <c r="T164" i="140"/>
  <c r="Q192" i="140"/>
  <c r="U15" i="142"/>
  <c r="U19" i="142"/>
  <c r="U23" i="142"/>
  <c r="U27" i="142"/>
  <c r="U31" i="142"/>
  <c r="U35" i="142"/>
  <c r="U39" i="142"/>
  <c r="Q43" i="142"/>
  <c r="U47" i="142"/>
  <c r="U51" i="142"/>
  <c r="U55" i="142"/>
  <c r="U59" i="142"/>
  <c r="U63" i="142"/>
  <c r="U67" i="142"/>
  <c r="U177" i="142"/>
  <c r="U181" i="142"/>
  <c r="Q185" i="142"/>
  <c r="U190" i="142"/>
  <c r="T17" i="143"/>
  <c r="T21" i="143"/>
  <c r="T25" i="143"/>
  <c r="T29" i="143"/>
  <c r="T33" i="143"/>
  <c r="T37" i="143"/>
  <c r="T41" i="143"/>
  <c r="T45" i="143"/>
  <c r="T49" i="143"/>
  <c r="T53" i="143"/>
  <c r="T57" i="143"/>
  <c r="T61" i="143"/>
  <c r="T65" i="143"/>
  <c r="T69" i="143"/>
  <c r="V24" i="90"/>
  <c r="V29" i="90"/>
  <c r="V40" i="90"/>
  <c r="V75" i="90"/>
  <c r="V91" i="90"/>
  <c r="V107" i="90"/>
  <c r="V123" i="90"/>
  <c r="V139" i="90"/>
  <c r="V155" i="90"/>
  <c r="Q176" i="93"/>
  <c r="U71" i="142"/>
  <c r="U75" i="142"/>
  <c r="U79" i="142"/>
  <c r="U83" i="142"/>
  <c r="U87" i="142"/>
  <c r="U91" i="142"/>
  <c r="U95" i="142"/>
  <c r="U99" i="142"/>
  <c r="U103" i="142"/>
  <c r="U107" i="142"/>
  <c r="U111" i="142"/>
  <c r="U115" i="142"/>
  <c r="U119" i="142"/>
  <c r="U123" i="142"/>
  <c r="U127" i="142"/>
  <c r="U131" i="142"/>
  <c r="U135" i="142"/>
  <c r="U139" i="142"/>
  <c r="U143" i="142"/>
  <c r="U147" i="142"/>
  <c r="U151" i="142"/>
  <c r="U155" i="142"/>
  <c r="F195" i="143"/>
  <c r="F12" i="143" s="1"/>
  <c r="N195" i="143"/>
  <c r="N12" i="143" s="1"/>
  <c r="T169" i="143"/>
  <c r="V25" i="90"/>
  <c r="V36" i="90"/>
  <c r="V41" i="90"/>
  <c r="V71" i="90"/>
  <c r="V87" i="90"/>
  <c r="V103" i="90"/>
  <c r="V119" i="90"/>
  <c r="V135" i="90"/>
  <c r="V151" i="90"/>
  <c r="Q192" i="142"/>
  <c r="I195" i="143"/>
  <c r="I12" i="143" s="1"/>
  <c r="M195" i="143"/>
  <c r="M12" i="143" s="1"/>
  <c r="I12" i="90"/>
  <c r="U15" i="93"/>
  <c r="P12" i="93"/>
  <c r="Q173" i="93"/>
  <c r="Q166" i="143"/>
  <c r="T164" i="143"/>
  <c r="T180" i="143"/>
  <c r="T184" i="143"/>
  <c r="T189" i="143"/>
  <c r="T193" i="143"/>
  <c r="V44" i="90"/>
  <c r="V48" i="90"/>
  <c r="V52" i="90"/>
  <c r="V60" i="90"/>
  <c r="V64" i="90"/>
  <c r="F12" i="90"/>
  <c r="Q168" i="90"/>
  <c r="H12" i="93"/>
  <c r="Q43" i="90"/>
  <c r="G12" i="90"/>
  <c r="K12" i="90"/>
  <c r="O12" i="90"/>
  <c r="Q192" i="90"/>
  <c r="Q164" i="93"/>
  <c r="F12" i="93"/>
  <c r="J12" i="93"/>
  <c r="Q177" i="93"/>
  <c r="Q182" i="93"/>
  <c r="H12" i="90"/>
  <c r="L12" i="90"/>
  <c r="P12" i="90"/>
  <c r="V177" i="90"/>
  <c r="V181" i="90"/>
  <c r="L12" i="93"/>
  <c r="Q167" i="93"/>
  <c r="I12" i="93"/>
  <c r="G12" i="93"/>
  <c r="O12" i="93"/>
  <c r="Q178" i="93"/>
  <c r="Q191" i="93"/>
  <c r="F12" i="153"/>
  <c r="U24" i="154"/>
  <c r="U40" i="154"/>
  <c r="U56" i="154"/>
  <c r="U154" i="154"/>
  <c r="Q192" i="153"/>
  <c r="U36" i="154"/>
  <c r="U52" i="154"/>
  <c r="U32" i="154"/>
  <c r="U48" i="154"/>
  <c r="U130" i="154"/>
  <c r="Q164" i="153"/>
  <c r="U28" i="154"/>
  <c r="U44" i="154"/>
  <c r="U60" i="154"/>
  <c r="U183" i="154"/>
  <c r="U146" i="154"/>
  <c r="U65" i="154"/>
  <c r="U69" i="154"/>
  <c r="U73" i="154"/>
  <c r="U77" i="154"/>
  <c r="U81" i="154"/>
  <c r="U85" i="154"/>
  <c r="U89" i="154"/>
  <c r="U93" i="154"/>
  <c r="U97" i="154"/>
  <c r="U101" i="154"/>
  <c r="U105" i="154"/>
  <c r="U109" i="154"/>
  <c r="U113" i="154"/>
  <c r="U117" i="154"/>
  <c r="U134" i="154"/>
  <c r="Q166" i="154"/>
  <c r="E181" i="154"/>
  <c r="Q166" i="153"/>
  <c r="U120" i="154"/>
  <c r="Q170" i="154"/>
  <c r="U122" i="154"/>
  <c r="U126" i="154"/>
  <c r="U142" i="154"/>
  <c r="U150" i="154"/>
  <c r="Q167" i="154"/>
  <c r="Q175" i="154"/>
  <c r="Q187" i="154"/>
  <c r="U138" i="154"/>
  <c r="Q168" i="154"/>
  <c r="Q176" i="154"/>
  <c r="Q188" i="154"/>
  <c r="U19" i="155"/>
  <c r="U23" i="155"/>
  <c r="E164" i="154"/>
  <c r="Q173" i="154"/>
  <c r="G70" i="18" l="1"/>
  <c r="P70" i="18"/>
  <c r="L70" i="18"/>
  <c r="L75" i="18" s="1"/>
  <c r="H70" i="18"/>
  <c r="H75" i="18" s="1"/>
  <c r="M70" i="18"/>
  <c r="M75" i="18" s="1"/>
  <c r="I70" i="18"/>
  <c r="Q70" i="18" s="1"/>
  <c r="Q75" i="18" s="1"/>
  <c r="N75" i="18"/>
  <c r="O75" i="18"/>
  <c r="G75" i="18"/>
  <c r="Q171" i="108"/>
  <c r="U192" i="93"/>
  <c r="Y163" i="154"/>
  <c r="J164" i="108"/>
  <c r="R132" i="122"/>
  <c r="R131" i="122"/>
  <c r="R133" i="122"/>
  <c r="I75" i="18"/>
  <c r="N73" i="108"/>
  <c r="J75" i="18"/>
  <c r="P75" i="18"/>
  <c r="H164" i="108"/>
  <c r="H73" i="108"/>
  <c r="W206" i="108"/>
  <c r="T197" i="140"/>
  <c r="Q200" i="153"/>
  <c r="Q11" i="144"/>
  <c r="Y205" i="108"/>
  <c r="Q31" i="123"/>
  <c r="Q185" i="90"/>
  <c r="V185" i="90" s="1"/>
  <c r="T160" i="123"/>
  <c r="Y201" i="108"/>
  <c r="P164" i="108"/>
  <c r="Q147" i="108"/>
  <c r="V147" i="108" s="1"/>
  <c r="T160" i="125"/>
  <c r="Y202" i="108"/>
  <c r="T160" i="126"/>
  <c r="Y204" i="108"/>
  <c r="V166" i="90"/>
  <c r="Q200" i="108"/>
  <c r="V200" i="108" s="1"/>
  <c r="O129" i="108"/>
  <c r="K129" i="108"/>
  <c r="L129" i="108"/>
  <c r="J104" i="108"/>
  <c r="L104" i="108"/>
  <c r="H104" i="108"/>
  <c r="Q117" i="130"/>
  <c r="Q118" i="130" s="1"/>
  <c r="T97" i="130"/>
  <c r="Q133" i="147"/>
  <c r="P80" i="108"/>
  <c r="H80" i="108"/>
  <c r="Q44" i="121"/>
  <c r="T44" i="121" s="1"/>
  <c r="Q77" i="122"/>
  <c r="Q59" i="122"/>
  <c r="R59" i="122" s="1"/>
  <c r="P104" i="108"/>
  <c r="I129" i="147"/>
  <c r="I139" i="147" s="1"/>
  <c r="O129" i="147"/>
  <c r="O139" i="147" s="1"/>
  <c r="Q42" i="122"/>
  <c r="Q46" i="122"/>
  <c r="Q72" i="122"/>
  <c r="R72" i="122" s="1"/>
  <c r="Q49" i="121"/>
  <c r="T49" i="121" s="1"/>
  <c r="Q46" i="126"/>
  <c r="T46" i="126" s="1"/>
  <c r="Q65" i="122"/>
  <c r="R65" i="122" s="1"/>
  <c r="K129" i="147"/>
  <c r="K137" i="147" s="1"/>
  <c r="N104" i="108"/>
  <c r="M104" i="108"/>
  <c r="F80" i="108"/>
  <c r="Q48" i="122"/>
  <c r="R48" i="122" s="1"/>
  <c r="Q71" i="122"/>
  <c r="Q74" i="122"/>
  <c r="R74" i="122" s="1"/>
  <c r="Q57" i="121"/>
  <c r="T57" i="121" s="1"/>
  <c r="Q43" i="121"/>
  <c r="Q78" i="121"/>
  <c r="Q47" i="121"/>
  <c r="N129" i="147"/>
  <c r="N137" i="147" s="1"/>
  <c r="L164" i="108"/>
  <c r="P129" i="147"/>
  <c r="P137" i="147" s="1"/>
  <c r="J80" i="108"/>
  <c r="N129" i="108"/>
  <c r="M129" i="108"/>
  <c r="Q48" i="121"/>
  <c r="Q56" i="122"/>
  <c r="R56" i="122" s="1"/>
  <c r="Q43" i="122"/>
  <c r="R43" i="122" s="1"/>
  <c r="Q65" i="121"/>
  <c r="Q44" i="122"/>
  <c r="R44" i="122" s="1"/>
  <c r="M129" i="147"/>
  <c r="M138" i="147" s="1"/>
  <c r="H129" i="147"/>
  <c r="H138" i="147" s="1"/>
  <c r="L129" i="147"/>
  <c r="L140" i="147" s="1"/>
  <c r="Q107" i="121"/>
  <c r="R107" i="121" s="1"/>
  <c r="Q81" i="121"/>
  <c r="T81" i="121" s="1"/>
  <c r="J103" i="108"/>
  <c r="Q103" i="108" s="1"/>
  <c r="V103" i="108" s="1"/>
  <c r="Q77" i="121"/>
  <c r="Q60" i="121"/>
  <c r="T60" i="121" s="1"/>
  <c r="Q64" i="122"/>
  <c r="Q45" i="122"/>
  <c r="R45" i="122" s="1"/>
  <c r="Q58" i="121"/>
  <c r="T58" i="121" s="1"/>
  <c r="Q64" i="126"/>
  <c r="T64" i="126" s="1"/>
  <c r="G129" i="147"/>
  <c r="G141" i="147" s="1"/>
  <c r="O80" i="108"/>
  <c r="Q73" i="122"/>
  <c r="R73" i="122" s="1"/>
  <c r="Q47" i="122"/>
  <c r="Q75" i="121"/>
  <c r="T75" i="121" s="1"/>
  <c r="Q73" i="121"/>
  <c r="T73" i="121" s="1"/>
  <c r="J129" i="147"/>
  <c r="J141" i="147" s="1"/>
  <c r="K80" i="108"/>
  <c r="O104" i="108"/>
  <c r="Q75" i="122"/>
  <c r="R75" i="122" s="1"/>
  <c r="Q54" i="122"/>
  <c r="Q51" i="121"/>
  <c r="T51" i="121" s="1"/>
  <c r="E129" i="108"/>
  <c r="I129" i="108"/>
  <c r="I104" i="108"/>
  <c r="L155" i="108"/>
  <c r="G104" i="108"/>
  <c r="O73" i="108"/>
  <c r="H129" i="108"/>
  <c r="G129" i="108"/>
  <c r="J129" i="108"/>
  <c r="K104" i="108"/>
  <c r="P129" i="108"/>
  <c r="I73" i="108"/>
  <c r="H155" i="108"/>
  <c r="O155" i="108"/>
  <c r="P155" i="108"/>
  <c r="Q42" i="125"/>
  <c r="T42" i="125" s="1"/>
  <c r="Q44" i="125"/>
  <c r="T44" i="125" s="1"/>
  <c r="Q46" i="125"/>
  <c r="T46" i="125" s="1"/>
  <c r="Q106" i="125"/>
  <c r="R106" i="125" s="1"/>
  <c r="L80" i="108"/>
  <c r="Q48" i="125"/>
  <c r="T48" i="125" s="1"/>
  <c r="M80" i="108"/>
  <c r="N80" i="108"/>
  <c r="Q57" i="125"/>
  <c r="T57" i="125" s="1"/>
  <c r="Q81" i="125"/>
  <c r="T81" i="125" s="1"/>
  <c r="Q64" i="125"/>
  <c r="R64" i="125" s="1"/>
  <c r="Q59" i="125"/>
  <c r="R59" i="125" s="1"/>
  <c r="Q72" i="125"/>
  <c r="R72" i="125" s="1"/>
  <c r="J73" i="108"/>
  <c r="Q71" i="125"/>
  <c r="R71" i="125" s="1"/>
  <c r="Q74" i="125"/>
  <c r="R74" i="125" s="1"/>
  <c r="Q73" i="125"/>
  <c r="Q77" i="125"/>
  <c r="T77" i="125" s="1"/>
  <c r="Q75" i="125"/>
  <c r="T75" i="125" s="1"/>
  <c r="Q43" i="125"/>
  <c r="T43" i="125" s="1"/>
  <c r="L73" i="108"/>
  <c r="Q45" i="125"/>
  <c r="T45" i="125" s="1"/>
  <c r="Q47" i="125"/>
  <c r="T47" i="125" s="1"/>
  <c r="G155" i="108"/>
  <c r="Q50" i="125"/>
  <c r="R50" i="125" s="1"/>
  <c r="Q56" i="125"/>
  <c r="T56" i="125" s="1"/>
  <c r="R56" i="124"/>
  <c r="R101" i="119"/>
  <c r="R78" i="119"/>
  <c r="R76" i="124"/>
  <c r="R104" i="124"/>
  <c r="R69" i="124"/>
  <c r="R70" i="119"/>
  <c r="R104" i="119"/>
  <c r="R67" i="119"/>
  <c r="R46" i="124"/>
  <c r="R41" i="119"/>
  <c r="Q125" i="119"/>
  <c r="U125" i="119" s="1"/>
  <c r="R78" i="124"/>
  <c r="R152" i="124"/>
  <c r="R92" i="124"/>
  <c r="R106" i="119"/>
  <c r="N69" i="81"/>
  <c r="R102" i="124"/>
  <c r="T117" i="124"/>
  <c r="R45" i="119"/>
  <c r="R90" i="124"/>
  <c r="R43" i="126"/>
  <c r="R81" i="124"/>
  <c r="R51" i="126"/>
  <c r="R62" i="124"/>
  <c r="O13" i="18"/>
  <c r="R99" i="126"/>
  <c r="K163" i="108"/>
  <c r="J66" i="108"/>
  <c r="H94" i="151"/>
  <c r="L152" i="108"/>
  <c r="I79" i="108"/>
  <c r="H152" i="108"/>
  <c r="N152" i="108"/>
  <c r="F153" i="108"/>
  <c r="R79" i="124"/>
  <c r="K66" i="108"/>
  <c r="K69" i="81"/>
  <c r="G69" i="81"/>
  <c r="R74" i="124"/>
  <c r="R85" i="124"/>
  <c r="J152" i="108"/>
  <c r="O163" i="108"/>
  <c r="R151" i="124"/>
  <c r="R57" i="124"/>
  <c r="P163" i="108"/>
  <c r="R45" i="124"/>
  <c r="J155" i="108"/>
  <c r="R52" i="124"/>
  <c r="R81" i="126"/>
  <c r="R132" i="126"/>
  <c r="Q135" i="108"/>
  <c r="V135" i="108" s="1"/>
  <c r="Q125" i="124"/>
  <c r="T125" i="124" s="1"/>
  <c r="K152" i="108"/>
  <c r="J96" i="108"/>
  <c r="R66" i="126"/>
  <c r="R96" i="124"/>
  <c r="R98" i="124"/>
  <c r="N95" i="108"/>
  <c r="K71" i="108"/>
  <c r="J98" i="108"/>
  <c r="I95" i="108"/>
  <c r="R90" i="126"/>
  <c r="R83" i="126"/>
  <c r="R89" i="124"/>
  <c r="J68" i="108"/>
  <c r="H153" i="108"/>
  <c r="R95" i="146"/>
  <c r="R58" i="124"/>
  <c r="R51" i="124"/>
  <c r="I163" i="108"/>
  <c r="P152" i="108"/>
  <c r="I152" i="108"/>
  <c r="O71" i="108"/>
  <c r="P98" i="108"/>
  <c r="O68" i="108"/>
  <c r="I97" i="108"/>
  <c r="G152" i="108"/>
  <c r="L66" i="108"/>
  <c r="M152" i="108"/>
  <c r="R64" i="124"/>
  <c r="R12" i="132"/>
  <c r="J95" i="108"/>
  <c r="F163" i="108"/>
  <c r="R77" i="124"/>
  <c r="Q134" i="132"/>
  <c r="M94" i="108"/>
  <c r="J79" i="108"/>
  <c r="H79" i="108"/>
  <c r="R15" i="132"/>
  <c r="R70" i="124"/>
  <c r="K95" i="108"/>
  <c r="N13" i="18"/>
  <c r="R91" i="124"/>
  <c r="R75" i="124"/>
  <c r="R43" i="124"/>
  <c r="R68" i="124"/>
  <c r="R41" i="124"/>
  <c r="Q106" i="123"/>
  <c r="T106" i="123" s="1"/>
  <c r="E95" i="108"/>
  <c r="Q72" i="123"/>
  <c r="T72" i="123" s="1"/>
  <c r="F82" i="108"/>
  <c r="E115" i="108"/>
  <c r="Q115" i="108" s="1"/>
  <c r="V115" i="108" s="1"/>
  <c r="Q92" i="123"/>
  <c r="T92" i="123" s="1"/>
  <c r="F95" i="108"/>
  <c r="P82" i="108"/>
  <c r="N97" i="108"/>
  <c r="Q47" i="123"/>
  <c r="T47" i="123" s="1"/>
  <c r="K79" i="108"/>
  <c r="F97" i="108"/>
  <c r="O82" i="108"/>
  <c r="E73" i="108"/>
  <c r="Q50" i="123"/>
  <c r="T50" i="123" s="1"/>
  <c r="L79" i="108"/>
  <c r="P95" i="108"/>
  <c r="E98" i="108"/>
  <c r="Q75" i="123"/>
  <c r="T75" i="123" s="1"/>
  <c r="K94" i="108"/>
  <c r="F71" i="108"/>
  <c r="O95" i="108"/>
  <c r="P97" i="108"/>
  <c r="Q43" i="123"/>
  <c r="T43" i="123" s="1"/>
  <c r="E66" i="108"/>
  <c r="L68" i="108"/>
  <c r="K96" i="108"/>
  <c r="F68" i="108"/>
  <c r="G71" i="108"/>
  <c r="O97" i="108"/>
  <c r="E104" i="108"/>
  <c r="Q81" i="123"/>
  <c r="T81" i="123" s="1"/>
  <c r="K98" i="108"/>
  <c r="J82" i="108"/>
  <c r="M67" i="108"/>
  <c r="E94" i="108"/>
  <c r="Q71" i="123"/>
  <c r="T71" i="123" s="1"/>
  <c r="F88" i="108"/>
  <c r="Q88" i="108" s="1"/>
  <c r="V88" i="108" s="1"/>
  <c r="G98" i="108"/>
  <c r="E68" i="108"/>
  <c r="Q45" i="123"/>
  <c r="T45" i="123" s="1"/>
  <c r="L82" i="108"/>
  <c r="K68" i="108"/>
  <c r="M71" i="108"/>
  <c r="Q56" i="123"/>
  <c r="T56" i="123" s="1"/>
  <c r="E79" i="108"/>
  <c r="J97" i="108"/>
  <c r="H96" i="108"/>
  <c r="G94" i="108"/>
  <c r="M79" i="108"/>
  <c r="L95" i="108"/>
  <c r="H67" i="108"/>
  <c r="G66" i="108"/>
  <c r="E96" i="108"/>
  <c r="Q73" i="123"/>
  <c r="T73" i="123" s="1"/>
  <c r="L97" i="108"/>
  <c r="K82" i="108"/>
  <c r="H71" i="108"/>
  <c r="G68" i="108"/>
  <c r="N79" i="108"/>
  <c r="Q58" i="123"/>
  <c r="T58" i="123" s="1"/>
  <c r="L67" i="108"/>
  <c r="P67" i="108"/>
  <c r="N94" i="108"/>
  <c r="M96" i="108"/>
  <c r="Q77" i="123"/>
  <c r="T77" i="123" s="1"/>
  <c r="H94" i="108"/>
  <c r="G82" i="108"/>
  <c r="P96" i="108"/>
  <c r="N98" i="108"/>
  <c r="M98" i="108"/>
  <c r="Q64" i="123"/>
  <c r="T64" i="123" s="1"/>
  <c r="L71" i="108"/>
  <c r="K97" i="108"/>
  <c r="I67" i="108"/>
  <c r="H98" i="108"/>
  <c r="G163" i="108"/>
  <c r="N67" i="108"/>
  <c r="M66" i="108"/>
  <c r="Q74" i="123"/>
  <c r="T74" i="123" s="1"/>
  <c r="E97" i="108"/>
  <c r="I71" i="108"/>
  <c r="H66" i="108"/>
  <c r="G95" i="108"/>
  <c r="O98" i="108"/>
  <c r="N71" i="108"/>
  <c r="M68" i="108"/>
  <c r="L94" i="108"/>
  <c r="I94" i="108"/>
  <c r="H68" i="108"/>
  <c r="G97" i="108"/>
  <c r="O67" i="108"/>
  <c r="Q42" i="123"/>
  <c r="T42" i="123" s="1"/>
  <c r="L96" i="108"/>
  <c r="F67" i="108"/>
  <c r="I96" i="108"/>
  <c r="O79" i="108"/>
  <c r="P71" i="108"/>
  <c r="N96" i="108"/>
  <c r="E67" i="108"/>
  <c r="Q44" i="123"/>
  <c r="T44" i="123" s="1"/>
  <c r="L98" i="108"/>
  <c r="F79" i="108"/>
  <c r="I98" i="108"/>
  <c r="E163" i="108"/>
  <c r="O96" i="108"/>
  <c r="P79" i="108"/>
  <c r="N66" i="108"/>
  <c r="M82" i="108"/>
  <c r="Q46" i="123"/>
  <c r="T46" i="123" s="1"/>
  <c r="J67" i="108"/>
  <c r="F94" i="108"/>
  <c r="R71" i="122"/>
  <c r="I66" i="108"/>
  <c r="H82" i="108"/>
  <c r="G67" i="108"/>
  <c r="P94" i="108"/>
  <c r="N68" i="108"/>
  <c r="Q48" i="123"/>
  <c r="T48" i="123" s="1"/>
  <c r="F96" i="108"/>
  <c r="I68" i="108"/>
  <c r="G79" i="108"/>
  <c r="M95" i="108"/>
  <c r="Q54" i="123"/>
  <c r="T54" i="123" s="1"/>
  <c r="J71" i="108"/>
  <c r="F98" i="108"/>
  <c r="H95" i="108"/>
  <c r="G96" i="108"/>
  <c r="O152" i="108"/>
  <c r="O94" i="108"/>
  <c r="P66" i="108"/>
  <c r="M97" i="108"/>
  <c r="E80" i="108"/>
  <c r="Q57" i="123"/>
  <c r="T57" i="123" s="1"/>
  <c r="F66" i="108"/>
  <c r="H97" i="108"/>
  <c r="O66" i="108"/>
  <c r="P68" i="108"/>
  <c r="N82" i="108"/>
  <c r="Q59" i="123"/>
  <c r="R59" i="123" s="1"/>
  <c r="E82" i="108"/>
  <c r="K67" i="108"/>
  <c r="J94" i="108"/>
  <c r="I82" i="108"/>
  <c r="O153" i="108"/>
  <c r="L163" i="108"/>
  <c r="I97" i="81"/>
  <c r="Q143" i="119"/>
  <c r="J163" i="108"/>
  <c r="H163" i="108"/>
  <c r="J153" i="108"/>
  <c r="P153" i="108"/>
  <c r="R94" i="152"/>
  <c r="Q137" i="134"/>
  <c r="M153" i="108"/>
  <c r="I155" i="108"/>
  <c r="Q121" i="125"/>
  <c r="T121" i="125" s="1"/>
  <c r="E155" i="108"/>
  <c r="K155" i="108"/>
  <c r="Q121" i="123"/>
  <c r="T121" i="123" s="1"/>
  <c r="L153" i="108"/>
  <c r="K153" i="108"/>
  <c r="Q17" i="123"/>
  <c r="Q125" i="123" s="1"/>
  <c r="T125" i="123" s="1"/>
  <c r="N153" i="108"/>
  <c r="G153" i="108"/>
  <c r="Q123" i="152"/>
  <c r="Q143" i="126"/>
  <c r="R143" i="126" s="1"/>
  <c r="Q143" i="124"/>
  <c r="Q123" i="125"/>
  <c r="T168" i="143"/>
  <c r="E153" i="108"/>
  <c r="Q67" i="81"/>
  <c r="N163" i="108"/>
  <c r="N155" i="108"/>
  <c r="E97" i="81"/>
  <c r="F155" i="108"/>
  <c r="J13" i="18"/>
  <c r="M155" i="108"/>
  <c r="Q17" i="125"/>
  <c r="Q125" i="125" s="1"/>
  <c r="T125" i="125" s="1"/>
  <c r="F13" i="18"/>
  <c r="Q86" i="81"/>
  <c r="U86" i="81" s="1"/>
  <c r="J157" i="154"/>
  <c r="T14" i="151"/>
  <c r="R107" i="151"/>
  <c r="R106" i="151"/>
  <c r="Q111" i="136"/>
  <c r="R111" i="136" s="1"/>
  <c r="Q74" i="81"/>
  <c r="U74" i="81" s="1"/>
  <c r="R76" i="125"/>
  <c r="R142" i="125"/>
  <c r="R141" i="125"/>
  <c r="R156" i="124"/>
  <c r="R141" i="124"/>
  <c r="R142" i="124"/>
  <c r="R141" i="123"/>
  <c r="R142" i="123"/>
  <c r="R39" i="126"/>
  <c r="R141" i="126"/>
  <c r="R142" i="126"/>
  <c r="R152" i="119"/>
  <c r="R141" i="119"/>
  <c r="R142" i="119"/>
  <c r="J157" i="132"/>
  <c r="L77" i="108"/>
  <c r="L100" i="108"/>
  <c r="U18" i="81"/>
  <c r="R54" i="81"/>
  <c r="R36" i="81"/>
  <c r="R129" i="135"/>
  <c r="R134" i="135"/>
  <c r="R119" i="135"/>
  <c r="R123" i="135"/>
  <c r="R109" i="135"/>
  <c r="R113" i="135"/>
  <c r="R105" i="135"/>
  <c r="R87" i="135"/>
  <c r="R91" i="135"/>
  <c r="R95" i="135"/>
  <c r="R99" i="135"/>
  <c r="R132" i="135"/>
  <c r="R121" i="135"/>
  <c r="R111" i="135"/>
  <c r="R104" i="135"/>
  <c r="R93" i="135"/>
  <c r="R27" i="135"/>
  <c r="R128" i="135"/>
  <c r="R133" i="135"/>
  <c r="R118" i="135"/>
  <c r="R117" i="135"/>
  <c r="R108" i="135"/>
  <c r="R94" i="135"/>
  <c r="R25" i="135"/>
  <c r="R130" i="135"/>
  <c r="R135" i="135"/>
  <c r="R120" i="135"/>
  <c r="R124" i="135"/>
  <c r="R110" i="135"/>
  <c r="R114" i="135"/>
  <c r="R106" i="135"/>
  <c r="R88" i="135"/>
  <c r="R92" i="135"/>
  <c r="R96" i="135"/>
  <c r="R85" i="135"/>
  <c r="R127" i="135"/>
  <c r="R131" i="135"/>
  <c r="R125" i="135"/>
  <c r="R115" i="135"/>
  <c r="R89" i="135"/>
  <c r="R97" i="135"/>
  <c r="R122" i="135"/>
  <c r="R112" i="135"/>
  <c r="R86" i="135"/>
  <c r="R90" i="135"/>
  <c r="R98" i="135"/>
  <c r="R71" i="136"/>
  <c r="R76" i="136"/>
  <c r="R80" i="136"/>
  <c r="R84" i="136"/>
  <c r="R88" i="136"/>
  <c r="R92" i="136"/>
  <c r="R73" i="136"/>
  <c r="R74" i="136"/>
  <c r="R82" i="136"/>
  <c r="R90" i="136"/>
  <c r="R21" i="136"/>
  <c r="R79" i="136"/>
  <c r="R87" i="136"/>
  <c r="R108" i="136"/>
  <c r="R72" i="136"/>
  <c r="R77" i="136"/>
  <c r="R81" i="136"/>
  <c r="R85" i="136"/>
  <c r="R89" i="136"/>
  <c r="R93" i="136"/>
  <c r="R69" i="136"/>
  <c r="R78" i="136"/>
  <c r="R86" i="136"/>
  <c r="R94" i="136"/>
  <c r="R70" i="136"/>
  <c r="R75" i="136"/>
  <c r="R83" i="136"/>
  <c r="R91" i="136"/>
  <c r="M83" i="108"/>
  <c r="O87" i="108"/>
  <c r="O81" i="108"/>
  <c r="H100" i="108"/>
  <c r="T25" i="121"/>
  <c r="R33" i="121"/>
  <c r="P85" i="108"/>
  <c r="I100" i="108"/>
  <c r="K100" i="108"/>
  <c r="V47" i="108"/>
  <c r="S55" i="108"/>
  <c r="E100" i="108"/>
  <c r="R141" i="122"/>
  <c r="R140" i="122"/>
  <c r="H83" i="108"/>
  <c r="Q159" i="132"/>
  <c r="M100" i="108"/>
  <c r="M81" i="108"/>
  <c r="M65" i="108"/>
  <c r="U13" i="81"/>
  <c r="Q75" i="81"/>
  <c r="U75" i="81" s="1"/>
  <c r="I157" i="132"/>
  <c r="M157" i="132"/>
  <c r="G157" i="132"/>
  <c r="Q179" i="108"/>
  <c r="L157" i="132"/>
  <c r="O157" i="132"/>
  <c r="P157" i="132"/>
  <c r="K157" i="132"/>
  <c r="Q180" i="108"/>
  <c r="V180" i="108" s="1"/>
  <c r="M183" i="108"/>
  <c r="L157" i="154"/>
  <c r="K78" i="81"/>
  <c r="F183" i="108"/>
  <c r="Q164" i="154"/>
  <c r="E183" i="108"/>
  <c r="Q100" i="81"/>
  <c r="U100" i="81" s="1"/>
  <c r="I183" i="108"/>
  <c r="E157" i="132"/>
  <c r="Q33" i="108"/>
  <c r="K27" i="108"/>
  <c r="J27" i="108"/>
  <c r="R105" i="121"/>
  <c r="R140" i="121"/>
  <c r="R141" i="121"/>
  <c r="J195" i="83"/>
  <c r="J199" i="83" s="1"/>
  <c r="F35" i="121"/>
  <c r="Q138" i="108"/>
  <c r="V138" i="108" s="1"/>
  <c r="R87" i="124"/>
  <c r="P58" i="81"/>
  <c r="L195" i="83"/>
  <c r="L196" i="83" s="1"/>
  <c r="L12" i="83" s="1"/>
  <c r="L194" i="140"/>
  <c r="L195" i="140" s="1"/>
  <c r="L12" i="140" s="1"/>
  <c r="Q25" i="108"/>
  <c r="V25" i="108" s="1"/>
  <c r="F45" i="108"/>
  <c r="M128" i="148"/>
  <c r="M35" i="121"/>
  <c r="I69" i="81"/>
  <c r="E148" i="108"/>
  <c r="Q42" i="81"/>
  <c r="U42" i="81" s="1"/>
  <c r="R17" i="132"/>
  <c r="R14" i="132"/>
  <c r="F157" i="153"/>
  <c r="F158" i="153" s="1"/>
  <c r="F159" i="153" s="1"/>
  <c r="F249" i="153" s="1"/>
  <c r="Q43" i="140"/>
  <c r="T43" i="140" s="1"/>
  <c r="Q32" i="122"/>
  <c r="R32" i="122" s="1"/>
  <c r="I77" i="108"/>
  <c r="H194" i="83"/>
  <c r="H195" i="83" s="1"/>
  <c r="H194" i="140"/>
  <c r="H195" i="140" s="1"/>
  <c r="H12" i="140" s="1"/>
  <c r="F194" i="83"/>
  <c r="F195" i="83" s="1"/>
  <c r="F194" i="140"/>
  <c r="F195" i="140" s="1"/>
  <c r="F12" i="140" s="1"/>
  <c r="K194" i="140"/>
  <c r="K195" i="140" s="1"/>
  <c r="K12" i="140" s="1"/>
  <c r="K194" i="83"/>
  <c r="K195" i="83" s="1"/>
  <c r="O194" i="83"/>
  <c r="O195" i="83" s="1"/>
  <c r="O196" i="83" s="1"/>
  <c r="O12" i="83" s="1"/>
  <c r="O194" i="140"/>
  <c r="O195" i="140" s="1"/>
  <c r="O12" i="140" s="1"/>
  <c r="M194" i="83"/>
  <c r="M195" i="83" s="1"/>
  <c r="M194" i="140"/>
  <c r="M195" i="140" s="1"/>
  <c r="M12" i="140" s="1"/>
  <c r="I194" i="83"/>
  <c r="I194" i="140"/>
  <c r="I195" i="140" s="1"/>
  <c r="I12" i="140" s="1"/>
  <c r="G194" i="83"/>
  <c r="G195" i="83" s="1"/>
  <c r="G196" i="83" s="1"/>
  <c r="G12" i="83" s="1"/>
  <c r="G194" i="140"/>
  <c r="G195" i="140" s="1"/>
  <c r="G12" i="140" s="1"/>
  <c r="Q193" i="140"/>
  <c r="T193" i="140" s="1"/>
  <c r="E194" i="83"/>
  <c r="E195" i="83" s="1"/>
  <c r="E12" i="140"/>
  <c r="P194" i="83"/>
  <c r="P195" i="83" s="1"/>
  <c r="P194" i="140"/>
  <c r="P195" i="140" s="1"/>
  <c r="P12" i="140" s="1"/>
  <c r="N194" i="83"/>
  <c r="N195" i="83" s="1"/>
  <c r="N194" i="140"/>
  <c r="N195" i="140" s="1"/>
  <c r="N12" i="140" s="1"/>
  <c r="T32" i="126"/>
  <c r="R32" i="126"/>
  <c r="H69" i="81"/>
  <c r="R59" i="124"/>
  <c r="Q16" i="108"/>
  <c r="V16" i="108" s="1"/>
  <c r="K97" i="81"/>
  <c r="R69" i="152"/>
  <c r="R71" i="126"/>
  <c r="R91" i="126"/>
  <c r="R54" i="124"/>
  <c r="Q127" i="124"/>
  <c r="T127" i="124" s="1"/>
  <c r="R72" i="124"/>
  <c r="R157" i="124"/>
  <c r="R160" i="126"/>
  <c r="Q125" i="126"/>
  <c r="T125" i="126" s="1"/>
  <c r="R86" i="124"/>
  <c r="R161" i="124"/>
  <c r="R73" i="124"/>
  <c r="R100" i="124"/>
  <c r="R60" i="124"/>
  <c r="R50" i="124"/>
  <c r="R105" i="124"/>
  <c r="R39" i="124"/>
  <c r="R101" i="124"/>
  <c r="J69" i="81"/>
  <c r="N54" i="108"/>
  <c r="O157" i="134"/>
  <c r="O49" i="134" s="1"/>
  <c r="R104" i="126"/>
  <c r="R105" i="126"/>
  <c r="R57" i="126"/>
  <c r="R42" i="124"/>
  <c r="R42" i="126"/>
  <c r="R106" i="124"/>
  <c r="R80" i="124"/>
  <c r="R52" i="126"/>
  <c r="R85" i="126"/>
  <c r="R140" i="126"/>
  <c r="R66" i="124"/>
  <c r="R95" i="124"/>
  <c r="R55" i="124"/>
  <c r="R97" i="124"/>
  <c r="R99" i="124"/>
  <c r="R49" i="124"/>
  <c r="T108" i="135"/>
  <c r="Q36" i="81"/>
  <c r="U36" i="81" s="1"/>
  <c r="N34" i="123"/>
  <c r="I78" i="81"/>
  <c r="H27" i="81"/>
  <c r="J97" i="81"/>
  <c r="R100" i="126"/>
  <c r="R67" i="124"/>
  <c r="L45" i="108"/>
  <c r="R54" i="126"/>
  <c r="K128" i="148"/>
  <c r="N34" i="122"/>
  <c r="R40" i="124"/>
  <c r="R84" i="124"/>
  <c r="R82" i="124"/>
  <c r="R88" i="126"/>
  <c r="R63" i="124"/>
  <c r="R93" i="124"/>
  <c r="R53" i="124"/>
  <c r="O45" i="108"/>
  <c r="R71" i="124"/>
  <c r="F54" i="108"/>
  <c r="F69" i="81"/>
  <c r="E12" i="93"/>
  <c r="R92" i="126"/>
  <c r="R97" i="126"/>
  <c r="R45" i="126"/>
  <c r="G34" i="125"/>
  <c r="R155" i="124"/>
  <c r="R94" i="124"/>
  <c r="R84" i="121"/>
  <c r="R44" i="124"/>
  <c r="R88" i="124"/>
  <c r="R137" i="124"/>
  <c r="P97" i="81"/>
  <c r="R103" i="124"/>
  <c r="R158" i="124"/>
  <c r="R48" i="124"/>
  <c r="K45" i="108"/>
  <c r="R83" i="124"/>
  <c r="R65" i="124"/>
  <c r="R61" i="124"/>
  <c r="R137" i="152"/>
  <c r="R30" i="150"/>
  <c r="R76" i="152"/>
  <c r="R102" i="152"/>
  <c r="R37" i="150"/>
  <c r="R113" i="150"/>
  <c r="R26" i="150"/>
  <c r="I27" i="108"/>
  <c r="I45" i="108"/>
  <c r="R39" i="150"/>
  <c r="N35" i="121"/>
  <c r="R138" i="152"/>
  <c r="R24" i="150"/>
  <c r="P45" i="108"/>
  <c r="J45" i="108"/>
  <c r="Q144" i="121"/>
  <c r="R144" i="121" s="1"/>
  <c r="Q115" i="131"/>
  <c r="T115" i="131" s="1"/>
  <c r="G27" i="108"/>
  <c r="G103" i="138"/>
  <c r="E27" i="108"/>
  <c r="N27" i="108"/>
  <c r="E128" i="148"/>
  <c r="I128" i="148"/>
  <c r="J88" i="81"/>
  <c r="F202" i="108"/>
  <c r="M88" i="81"/>
  <c r="M69" i="81"/>
  <c r="M151" i="108"/>
  <c r="M148" i="108"/>
  <c r="G34" i="122"/>
  <c r="G54" i="108"/>
  <c r="K81" i="108"/>
  <c r="P34" i="125"/>
  <c r="I153" i="108"/>
  <c r="I148" i="108"/>
  <c r="M94" i="151"/>
  <c r="L34" i="125"/>
  <c r="P81" i="108"/>
  <c r="R66" i="119"/>
  <c r="R97" i="119"/>
  <c r="R42" i="119"/>
  <c r="L35" i="121"/>
  <c r="R62" i="135"/>
  <c r="R78" i="135"/>
  <c r="R66" i="135"/>
  <c r="R82" i="135"/>
  <c r="L78" i="81"/>
  <c r="L83" i="108"/>
  <c r="L81" i="108"/>
  <c r="R63" i="119"/>
  <c r="R62" i="126"/>
  <c r="R53" i="126"/>
  <c r="R79" i="126"/>
  <c r="R80" i="126"/>
  <c r="R49" i="126"/>
  <c r="R93" i="126"/>
  <c r="R41" i="126"/>
  <c r="R73" i="126"/>
  <c r="R69" i="126"/>
  <c r="R59" i="126"/>
  <c r="R50" i="126"/>
  <c r="R56" i="126"/>
  <c r="R106" i="126"/>
  <c r="R75" i="126"/>
  <c r="R68" i="126"/>
  <c r="R98" i="126"/>
  <c r="R151" i="126"/>
  <c r="R70" i="126"/>
  <c r="R48" i="126"/>
  <c r="R82" i="126"/>
  <c r="R65" i="126"/>
  <c r="R55" i="126"/>
  <c r="R77" i="126"/>
  <c r="R94" i="126"/>
  <c r="R72" i="126"/>
  <c r="Q34" i="108"/>
  <c r="V34" i="108" s="1"/>
  <c r="H36" i="126"/>
  <c r="Q44" i="108"/>
  <c r="V44" i="108" s="1"/>
  <c r="R160" i="122"/>
  <c r="R78" i="122"/>
  <c r="N81" i="108"/>
  <c r="Q40" i="81"/>
  <c r="U40" i="81" s="1"/>
  <c r="R39" i="119"/>
  <c r="R79" i="119"/>
  <c r="R102" i="119"/>
  <c r="R80" i="119"/>
  <c r="R82" i="119"/>
  <c r="U117" i="119"/>
  <c r="R88" i="119"/>
  <c r="R94" i="119"/>
  <c r="R84" i="119"/>
  <c r="R157" i="119"/>
  <c r="R53" i="119"/>
  <c r="R86" i="119"/>
  <c r="R60" i="119"/>
  <c r="R132" i="119"/>
  <c r="R89" i="119"/>
  <c r="R158" i="119"/>
  <c r="R96" i="119"/>
  <c r="R52" i="119"/>
  <c r="R98" i="119"/>
  <c r="R65" i="119"/>
  <c r="R64" i="119"/>
  <c r="G81" i="108"/>
  <c r="R82" i="152"/>
  <c r="R52" i="152"/>
  <c r="R70" i="152"/>
  <c r="R46" i="152"/>
  <c r="R68" i="152"/>
  <c r="R58" i="152"/>
  <c r="R100" i="152"/>
  <c r="R74" i="152"/>
  <c r="R88" i="152"/>
  <c r="H81" i="108"/>
  <c r="H87" i="108"/>
  <c r="R76" i="119"/>
  <c r="L31" i="132"/>
  <c r="L11" i="18"/>
  <c r="Q33" i="121"/>
  <c r="F88" i="81"/>
  <c r="R96" i="123"/>
  <c r="R103" i="134"/>
  <c r="R74" i="134"/>
  <c r="R93" i="123"/>
  <c r="G13" i="18"/>
  <c r="G27" i="81"/>
  <c r="R75" i="119"/>
  <c r="R71" i="119"/>
  <c r="I94" i="151"/>
  <c r="K85" i="108"/>
  <c r="Q32" i="125"/>
  <c r="R32" i="125" s="1"/>
  <c r="I65" i="108"/>
  <c r="I81" i="108"/>
  <c r="T192" i="139"/>
  <c r="Q194" i="139"/>
  <c r="T194" i="139" s="1"/>
  <c r="T149" i="126"/>
  <c r="R149" i="126"/>
  <c r="R139" i="126"/>
  <c r="T139" i="126"/>
  <c r="Q26" i="108"/>
  <c r="V26" i="108" s="1"/>
  <c r="E35" i="121"/>
  <c r="M45" i="108"/>
  <c r="R40" i="150"/>
  <c r="M54" i="108"/>
  <c r="P69" i="81"/>
  <c r="H157" i="134"/>
  <c r="H49" i="134" s="1"/>
  <c r="Q14" i="108"/>
  <c r="V14" i="108" s="1"/>
  <c r="Q54" i="125"/>
  <c r="T54" i="125" s="1"/>
  <c r="R139" i="119"/>
  <c r="T21" i="150"/>
  <c r="R25" i="150"/>
  <c r="P27" i="108"/>
  <c r="F78" i="81"/>
  <c r="R38" i="150"/>
  <c r="R31" i="150"/>
  <c r="R36" i="150"/>
  <c r="R29" i="150"/>
  <c r="M36" i="126"/>
  <c r="L163" i="124"/>
  <c r="L36" i="124" s="1"/>
  <c r="O69" i="81"/>
  <c r="G45" i="108"/>
  <c r="L69" i="81"/>
  <c r="L27" i="108"/>
  <c r="Q42" i="150"/>
  <c r="R42" i="150" s="1"/>
  <c r="R35" i="150"/>
  <c r="R32" i="150"/>
  <c r="R112" i="150"/>
  <c r="N56" i="81"/>
  <c r="J77" i="108"/>
  <c r="J86" i="108"/>
  <c r="J81" i="108"/>
  <c r="R34" i="150"/>
  <c r="R28" i="150"/>
  <c r="R27" i="150"/>
  <c r="I36" i="126"/>
  <c r="K90" i="83"/>
  <c r="R161" i="119"/>
  <c r="Q13" i="130"/>
  <c r="R140" i="119"/>
  <c r="Q95" i="81"/>
  <c r="H12" i="154"/>
  <c r="U162" i="154"/>
  <c r="U139" i="119"/>
  <c r="O36" i="123"/>
  <c r="N202" i="108"/>
  <c r="O97" i="81"/>
  <c r="G12" i="154"/>
  <c r="E163" i="123"/>
  <c r="E36" i="123" s="1"/>
  <c r="R148" i="119"/>
  <c r="O88" i="81"/>
  <c r="J56" i="81"/>
  <c r="J36" i="125"/>
  <c r="M163" i="119"/>
  <c r="M36" i="119" s="1"/>
  <c r="M109" i="119" s="1"/>
  <c r="M110" i="119" s="1"/>
  <c r="K163" i="119"/>
  <c r="K36" i="119" s="1"/>
  <c r="N88" i="81"/>
  <c r="P36" i="126"/>
  <c r="M36" i="123"/>
  <c r="I88" i="81"/>
  <c r="F56" i="81"/>
  <c r="K157" i="134"/>
  <c r="K49" i="134" s="1"/>
  <c r="P157" i="134"/>
  <c r="P49" i="134" s="1"/>
  <c r="K163" i="124"/>
  <c r="K36" i="124" s="1"/>
  <c r="N36" i="123"/>
  <c r="J202" i="108"/>
  <c r="I163" i="124"/>
  <c r="I36" i="124" s="1"/>
  <c r="I12" i="154"/>
  <c r="K12" i="154"/>
  <c r="L36" i="126"/>
  <c r="P12" i="154"/>
  <c r="G163" i="119"/>
  <c r="G36" i="119" s="1"/>
  <c r="M143" i="152"/>
  <c r="M35" i="152" s="1"/>
  <c r="M107" i="152" s="1"/>
  <c r="M61" i="81" s="1"/>
  <c r="N36" i="126"/>
  <c r="Q83" i="81"/>
  <c r="U83" i="81" s="1"/>
  <c r="J78" i="81"/>
  <c r="P78" i="81"/>
  <c r="L12" i="154"/>
  <c r="O163" i="119"/>
  <c r="O36" i="119" s="1"/>
  <c r="M78" i="81"/>
  <c r="R150" i="124"/>
  <c r="K36" i="123"/>
  <c r="Q156" i="134"/>
  <c r="T156" i="134" s="1"/>
  <c r="G88" i="81"/>
  <c r="Q162" i="125"/>
  <c r="R162" i="125" s="1"/>
  <c r="O36" i="125"/>
  <c r="M163" i="124"/>
  <c r="M36" i="124" s="1"/>
  <c r="I36" i="125"/>
  <c r="Q162" i="124"/>
  <c r="T162" i="124" s="1"/>
  <c r="G97" i="81"/>
  <c r="R146" i="124"/>
  <c r="F36" i="123"/>
  <c r="N78" i="81"/>
  <c r="M97" i="81"/>
  <c r="R133" i="124"/>
  <c r="E163" i="126"/>
  <c r="E36" i="126" s="1"/>
  <c r="J163" i="124"/>
  <c r="J36" i="124" s="1"/>
  <c r="Q84" i="81"/>
  <c r="U84" i="81" s="1"/>
  <c r="F163" i="124"/>
  <c r="F36" i="124" s="1"/>
  <c r="R147" i="124"/>
  <c r="F157" i="134"/>
  <c r="F49" i="134" s="1"/>
  <c r="F36" i="126"/>
  <c r="K36" i="126"/>
  <c r="Q73" i="81"/>
  <c r="U73" i="81" s="1"/>
  <c r="J43" i="83"/>
  <c r="Q38" i="81"/>
  <c r="U38" i="81" s="1"/>
  <c r="Q194" i="142"/>
  <c r="U194" i="142" s="1"/>
  <c r="Q165" i="83"/>
  <c r="Q166" i="83" s="1"/>
  <c r="F97" i="81"/>
  <c r="H88" i="81"/>
  <c r="L97" i="81"/>
  <c r="Q85" i="81"/>
  <c r="U85" i="81" s="1"/>
  <c r="L202" i="108"/>
  <c r="H193" i="108"/>
  <c r="Q172" i="108"/>
  <c r="V172" i="108" s="1"/>
  <c r="Q182" i="108"/>
  <c r="V182" i="108" s="1"/>
  <c r="O202" i="108"/>
  <c r="M193" i="108"/>
  <c r="F193" i="108"/>
  <c r="G202" i="108"/>
  <c r="P193" i="108"/>
  <c r="J156" i="132"/>
  <c r="F43" i="83"/>
  <c r="Q30" i="132"/>
  <c r="J115" i="132"/>
  <c r="F116" i="132"/>
  <c r="R145" i="132"/>
  <c r="L118" i="132"/>
  <c r="R13" i="132"/>
  <c r="F65" i="18"/>
  <c r="F66" i="18" s="1"/>
  <c r="H49" i="108"/>
  <c r="M27" i="108"/>
  <c r="Q130" i="148"/>
  <c r="R132" i="152"/>
  <c r="R74" i="135"/>
  <c r="R58" i="135"/>
  <c r="R92" i="152"/>
  <c r="R62" i="152"/>
  <c r="R130" i="134"/>
  <c r="R120" i="152"/>
  <c r="R104" i="152"/>
  <c r="R72" i="152"/>
  <c r="R118" i="152"/>
  <c r="R86" i="152"/>
  <c r="R50" i="152"/>
  <c r="R83" i="135"/>
  <c r="K27" i="81"/>
  <c r="R71" i="135"/>
  <c r="R96" i="126"/>
  <c r="R102" i="126"/>
  <c r="R89" i="126"/>
  <c r="R152" i="126"/>
  <c r="R86" i="126"/>
  <c r="R61" i="126"/>
  <c r="R105" i="119"/>
  <c r="R90" i="119"/>
  <c r="R74" i="119"/>
  <c r="R56" i="119"/>
  <c r="R101" i="126"/>
  <c r="R74" i="126"/>
  <c r="R58" i="126"/>
  <c r="R40" i="126"/>
  <c r="T117" i="126"/>
  <c r="R60" i="126"/>
  <c r="R84" i="126"/>
  <c r="R47" i="126"/>
  <c r="R63" i="126"/>
  <c r="R87" i="126"/>
  <c r="R155" i="119"/>
  <c r="R100" i="119"/>
  <c r="R83" i="119"/>
  <c r="R147" i="119"/>
  <c r="R49" i="119"/>
  <c r="Q127" i="119"/>
  <c r="U127" i="119" s="1"/>
  <c r="R91" i="119"/>
  <c r="R151" i="119"/>
  <c r="R87" i="119"/>
  <c r="R68" i="119"/>
  <c r="R57" i="119"/>
  <c r="R40" i="119"/>
  <c r="T90" i="130"/>
  <c r="G65" i="18"/>
  <c r="G66" i="18" s="1"/>
  <c r="P202" i="108"/>
  <c r="O128" i="148"/>
  <c r="K202" i="108"/>
  <c r="R103" i="126"/>
  <c r="N193" i="108"/>
  <c r="J193" i="108"/>
  <c r="O193" i="108"/>
  <c r="R76" i="126"/>
  <c r="I193" i="108"/>
  <c r="G193" i="108"/>
  <c r="L148" i="108"/>
  <c r="Q43" i="108"/>
  <c r="V43" i="108" s="1"/>
  <c r="Q32" i="108"/>
  <c r="V32" i="108" s="1"/>
  <c r="Q15" i="108"/>
  <c r="V15" i="108" s="1"/>
  <c r="R59" i="119"/>
  <c r="Q22" i="81"/>
  <c r="R70" i="135"/>
  <c r="R140" i="152"/>
  <c r="R78" i="152"/>
  <c r="R60" i="152"/>
  <c r="R100" i="134"/>
  <c r="R90" i="152"/>
  <c r="R65" i="152"/>
  <c r="L13" i="18"/>
  <c r="R106" i="152"/>
  <c r="R84" i="152"/>
  <c r="P163" i="124"/>
  <c r="P36" i="124" s="1"/>
  <c r="J36" i="123"/>
  <c r="R133" i="126"/>
  <c r="R100" i="123"/>
  <c r="R139" i="124"/>
  <c r="E65" i="108"/>
  <c r="R150" i="119"/>
  <c r="R137" i="126"/>
  <c r="G36" i="123"/>
  <c r="R67" i="126"/>
  <c r="Q132" i="146"/>
  <c r="Q12" i="108"/>
  <c r="V12" i="108" s="1"/>
  <c r="R72" i="119"/>
  <c r="K143" i="152"/>
  <c r="K35" i="152" s="1"/>
  <c r="K107" i="152" s="1"/>
  <c r="K61" i="81" s="1"/>
  <c r="R145" i="134"/>
  <c r="R63" i="135"/>
  <c r="R95" i="134"/>
  <c r="R85" i="125"/>
  <c r="F148" i="108"/>
  <c r="R145" i="119"/>
  <c r="L193" i="108"/>
  <c r="I36" i="123"/>
  <c r="Q20" i="151"/>
  <c r="R20" i="151" s="1"/>
  <c r="R58" i="119"/>
  <c r="R50" i="119"/>
  <c r="R93" i="119"/>
  <c r="N45" i="108"/>
  <c r="Q81" i="81"/>
  <c r="U81" i="81" s="1"/>
  <c r="L88" i="81"/>
  <c r="N116" i="132"/>
  <c r="G33" i="132"/>
  <c r="P33" i="132"/>
  <c r="I33" i="132"/>
  <c r="M202" i="108"/>
  <c r="E163" i="125"/>
  <c r="E36" i="125" s="1"/>
  <c r="H114" i="150"/>
  <c r="H151" i="150" s="1"/>
  <c r="R75" i="135"/>
  <c r="R90" i="151"/>
  <c r="Q150" i="150"/>
  <c r="R81" i="135"/>
  <c r="Q24" i="81"/>
  <c r="T73" i="136"/>
  <c r="L58" i="81"/>
  <c r="M27" i="81"/>
  <c r="R151" i="125"/>
  <c r="R73" i="135"/>
  <c r="Q162" i="126"/>
  <c r="T162" i="126" s="1"/>
  <c r="F36" i="125"/>
  <c r="Q31" i="108"/>
  <c r="V31" i="108" s="1"/>
  <c r="G36" i="126"/>
  <c r="H36" i="125"/>
  <c r="G36" i="125"/>
  <c r="R149" i="124"/>
  <c r="R78" i="125"/>
  <c r="R52" i="123"/>
  <c r="Q107" i="127"/>
  <c r="T107" i="127" s="1"/>
  <c r="J65" i="18"/>
  <c r="J66" i="18" s="1"/>
  <c r="H65" i="18"/>
  <c r="H66" i="18" s="1"/>
  <c r="Q171" i="83"/>
  <c r="R44" i="126"/>
  <c r="R77" i="119"/>
  <c r="R48" i="119"/>
  <c r="R78" i="126"/>
  <c r="R81" i="119"/>
  <c r="R51" i="119"/>
  <c r="Q11" i="131"/>
  <c r="T11" i="131" s="1"/>
  <c r="R43" i="119"/>
  <c r="R146" i="125"/>
  <c r="L143" i="152"/>
  <c r="L35" i="152" s="1"/>
  <c r="L107" i="152" s="1"/>
  <c r="L61" i="81" s="1"/>
  <c r="E143" i="152"/>
  <c r="E35" i="152" s="1"/>
  <c r="E107" i="152" s="1"/>
  <c r="Q94" i="81"/>
  <c r="U94" i="81" s="1"/>
  <c r="O27" i="81"/>
  <c r="F27" i="81"/>
  <c r="R93" i="125"/>
  <c r="R99" i="125"/>
  <c r="J36" i="126"/>
  <c r="L36" i="125"/>
  <c r="R103" i="125"/>
  <c r="L151" i="108"/>
  <c r="R105" i="125"/>
  <c r="P36" i="123"/>
  <c r="H36" i="123"/>
  <c r="Q146" i="108"/>
  <c r="O27" i="108"/>
  <c r="Q115" i="144"/>
  <c r="R133" i="123"/>
  <c r="R69" i="123"/>
  <c r="H45" i="108"/>
  <c r="H116" i="132"/>
  <c r="Q185" i="108"/>
  <c r="V185" i="108" s="1"/>
  <c r="L33" i="132"/>
  <c r="H202" i="108"/>
  <c r="P88" i="81"/>
  <c r="Q178" i="108"/>
  <c r="V178" i="108" s="1"/>
  <c r="E58" i="81"/>
  <c r="E94" i="151"/>
  <c r="R107" i="119"/>
  <c r="R73" i="119"/>
  <c r="R85" i="119"/>
  <c r="R69" i="119"/>
  <c r="R46" i="119"/>
  <c r="R80" i="125"/>
  <c r="Q153" i="119"/>
  <c r="R153" i="119" s="1"/>
  <c r="M12" i="154"/>
  <c r="O12" i="154"/>
  <c r="Q12" i="153"/>
  <c r="H78" i="81"/>
  <c r="N97" i="81"/>
  <c r="R89" i="125"/>
  <c r="E163" i="124"/>
  <c r="E36" i="124" s="1"/>
  <c r="O36" i="126"/>
  <c r="N163" i="124"/>
  <c r="N36" i="124" s="1"/>
  <c r="Q162" i="123"/>
  <c r="R162" i="123" s="1"/>
  <c r="R138" i="119"/>
  <c r="P148" i="108"/>
  <c r="H27" i="108"/>
  <c r="Q186" i="108"/>
  <c r="V186" i="108" s="1"/>
  <c r="Q198" i="83"/>
  <c r="U198" i="83" s="1"/>
  <c r="K88" i="81"/>
  <c r="M36" i="125"/>
  <c r="Q96" i="81"/>
  <c r="R91" i="151"/>
  <c r="R156" i="119"/>
  <c r="R103" i="119"/>
  <c r="R92" i="119"/>
  <c r="R61" i="119"/>
  <c r="R99" i="119"/>
  <c r="R55" i="119"/>
  <c r="R62" i="119"/>
  <c r="R44" i="119"/>
  <c r="R80" i="121"/>
  <c r="R142" i="121"/>
  <c r="R69" i="121"/>
  <c r="R52" i="121"/>
  <c r="R160" i="121"/>
  <c r="R138" i="121"/>
  <c r="R161" i="121"/>
  <c r="R76" i="121"/>
  <c r="R137" i="121"/>
  <c r="R60" i="121"/>
  <c r="R91" i="121"/>
  <c r="R42" i="121"/>
  <c r="R133" i="121"/>
  <c r="R56" i="121"/>
  <c r="R83" i="121"/>
  <c r="R104" i="121"/>
  <c r="R87" i="121"/>
  <c r="R102" i="121"/>
  <c r="R147" i="121"/>
  <c r="R100" i="121"/>
  <c r="R75" i="121"/>
  <c r="R143" i="121"/>
  <c r="Q126" i="121"/>
  <c r="T126" i="121" s="1"/>
  <c r="R148" i="121"/>
  <c r="R106" i="121"/>
  <c r="R85" i="121"/>
  <c r="R45" i="121"/>
  <c r="R95" i="121"/>
  <c r="R146" i="121"/>
  <c r="R68" i="121"/>
  <c r="R82" i="121"/>
  <c r="R101" i="121"/>
  <c r="R70" i="121"/>
  <c r="R139" i="121"/>
  <c r="R149" i="121"/>
  <c r="R92" i="121"/>
  <c r="R162" i="121"/>
  <c r="R59" i="121"/>
  <c r="R99" i="121"/>
  <c r="R150" i="121"/>
  <c r="R88" i="121"/>
  <c r="R41" i="121"/>
  <c r="R74" i="121"/>
  <c r="R153" i="121"/>
  <c r="R72" i="121"/>
  <c r="R103" i="121"/>
  <c r="R132" i="121"/>
  <c r="R53" i="121"/>
  <c r="R44" i="121"/>
  <c r="R94" i="121"/>
  <c r="T118" i="121"/>
  <c r="R79" i="121"/>
  <c r="R152" i="121"/>
  <c r="R71" i="121"/>
  <c r="R93" i="121"/>
  <c r="R66" i="121"/>
  <c r="R151" i="121"/>
  <c r="R90" i="121"/>
  <c r="R98" i="121"/>
  <c r="R86" i="121"/>
  <c r="R89" i="121"/>
  <c r="R97" i="121"/>
  <c r="R46" i="121"/>
  <c r="R50" i="121"/>
  <c r="R54" i="121"/>
  <c r="R40" i="121"/>
  <c r="R58" i="121"/>
  <c r="R51" i="121"/>
  <c r="H143" i="152"/>
  <c r="H35" i="152" s="1"/>
  <c r="H107" i="152" s="1"/>
  <c r="H109" i="152" s="1"/>
  <c r="O143" i="152"/>
  <c r="O35" i="152" s="1"/>
  <c r="O107" i="152" s="1"/>
  <c r="O61" i="81" s="1"/>
  <c r="O78" i="81"/>
  <c r="G157" i="134"/>
  <c r="G49" i="134" s="1"/>
  <c r="P36" i="125"/>
  <c r="T146" i="125"/>
  <c r="R150" i="126"/>
  <c r="N163" i="119"/>
  <c r="N36" i="119" s="1"/>
  <c r="Q205" i="108"/>
  <c r="V205" i="108" s="1"/>
  <c r="O163" i="124"/>
  <c r="O36" i="124" s="1"/>
  <c r="Q162" i="119"/>
  <c r="U162" i="119" s="1"/>
  <c r="I202" i="108"/>
  <c r="J163" i="119"/>
  <c r="J36" i="119" s="1"/>
  <c r="Q82" i="81"/>
  <c r="U82" i="81" s="1"/>
  <c r="N12" i="154"/>
  <c r="R146" i="126"/>
  <c r="Q193" i="83"/>
  <c r="U193" i="83" s="1"/>
  <c r="Q143" i="125"/>
  <c r="T143" i="125" s="1"/>
  <c r="I163" i="119"/>
  <c r="I36" i="119" s="1"/>
  <c r="U161" i="119"/>
  <c r="G143" i="152"/>
  <c r="G35" i="152" s="1"/>
  <c r="G107" i="152" s="1"/>
  <c r="G61" i="81" s="1"/>
  <c r="J12" i="154"/>
  <c r="E191" i="154"/>
  <c r="F12" i="154"/>
  <c r="J157" i="134"/>
  <c r="J49" i="134" s="1"/>
  <c r="L157" i="134"/>
  <c r="L49" i="134" s="1"/>
  <c r="E163" i="119"/>
  <c r="E36" i="119" s="1"/>
  <c r="F163" i="119"/>
  <c r="F36" i="119" s="1"/>
  <c r="H97" i="81"/>
  <c r="N157" i="134"/>
  <c r="N49" i="134" s="1"/>
  <c r="P143" i="152"/>
  <c r="P35" i="152" s="1"/>
  <c r="P107" i="152" s="1"/>
  <c r="P109" i="152" s="1"/>
  <c r="I143" i="152"/>
  <c r="I35" i="152" s="1"/>
  <c r="I107" i="152" s="1"/>
  <c r="I109" i="152" s="1"/>
  <c r="T161" i="124"/>
  <c r="K36" i="125"/>
  <c r="H163" i="124"/>
  <c r="H36" i="124" s="1"/>
  <c r="T137" i="124"/>
  <c r="H163" i="119"/>
  <c r="H36" i="119" s="1"/>
  <c r="J183" i="108"/>
  <c r="Q189" i="108"/>
  <c r="V189" i="108" s="1"/>
  <c r="U133" i="119"/>
  <c r="R133" i="119"/>
  <c r="R142" i="122"/>
  <c r="R86" i="122"/>
  <c r="R41" i="122"/>
  <c r="R70" i="122"/>
  <c r="R103" i="122"/>
  <c r="R85" i="122"/>
  <c r="R161" i="122"/>
  <c r="R143" i="122"/>
  <c r="R53" i="122"/>
  <c r="R159" i="122"/>
  <c r="R69" i="122"/>
  <c r="R134" i="122"/>
  <c r="R137" i="122"/>
  <c r="R52" i="122"/>
  <c r="R91" i="122"/>
  <c r="R150" i="122"/>
  <c r="R100" i="122"/>
  <c r="R145" i="122"/>
  <c r="R92" i="122"/>
  <c r="R146" i="122"/>
  <c r="R94" i="122"/>
  <c r="R39" i="122"/>
  <c r="R76" i="122"/>
  <c r="O156" i="132"/>
  <c r="G156" i="132"/>
  <c r="P156" i="132"/>
  <c r="S56" i="108"/>
  <c r="P118" i="132"/>
  <c r="P31" i="132"/>
  <c r="P11" i="18"/>
  <c r="Q18" i="132"/>
  <c r="Q20" i="132" s="1"/>
  <c r="S65" i="132" s="1"/>
  <c r="P117" i="132"/>
  <c r="Q121" i="147"/>
  <c r="K33" i="132"/>
  <c r="J33" i="132"/>
  <c r="F33" i="132"/>
  <c r="L156" i="132"/>
  <c r="E156" i="132"/>
  <c r="K12" i="93"/>
  <c r="Q168" i="83"/>
  <c r="Q90" i="108"/>
  <c r="V90" i="108" s="1"/>
  <c r="I156" i="132"/>
  <c r="O33" i="132"/>
  <c r="E33" i="132"/>
  <c r="H127" i="132"/>
  <c r="H156" i="132" s="1"/>
  <c r="K156" i="132"/>
  <c r="M156" i="132"/>
  <c r="H33" i="132"/>
  <c r="Q176" i="108"/>
  <c r="V176" i="108" s="1"/>
  <c r="Q121" i="148"/>
  <c r="H123" i="148"/>
  <c r="H12" i="148" s="1"/>
  <c r="Q177" i="108"/>
  <c r="V177" i="108" s="1"/>
  <c r="Q95" i="148"/>
  <c r="Q102" i="148" s="1"/>
  <c r="N12" i="93"/>
  <c r="Q23" i="136"/>
  <c r="Q95" i="136" s="1"/>
  <c r="Q97" i="136" s="1"/>
  <c r="E95" i="136"/>
  <c r="E97" i="136" s="1"/>
  <c r="P151" i="150"/>
  <c r="P54" i="81"/>
  <c r="J60" i="81"/>
  <c r="J103" i="138"/>
  <c r="M56" i="81"/>
  <c r="E103" i="138"/>
  <c r="E60" i="81"/>
  <c r="H56" i="81"/>
  <c r="F60" i="81"/>
  <c r="F103" i="138"/>
  <c r="I56" i="81"/>
  <c r="K56" i="81"/>
  <c r="M33" i="132"/>
  <c r="N60" i="81"/>
  <c r="N103" i="138"/>
  <c r="G56" i="81"/>
  <c r="I117" i="132"/>
  <c r="I11" i="18"/>
  <c r="I118" i="132"/>
  <c r="I31" i="132"/>
  <c r="U178" i="93"/>
  <c r="U164" i="93"/>
  <c r="T168" i="140"/>
  <c r="U126" i="83"/>
  <c r="U34" i="83"/>
  <c r="T131" i="134"/>
  <c r="R131" i="134"/>
  <c r="Q135" i="135"/>
  <c r="Q136" i="135" s="1"/>
  <c r="T106" i="135"/>
  <c r="Q22" i="146"/>
  <c r="T19" i="146"/>
  <c r="Q27" i="123"/>
  <c r="T27" i="123" s="1"/>
  <c r="E28" i="123"/>
  <c r="U43" i="148"/>
  <c r="N49" i="108"/>
  <c r="G148" i="108"/>
  <c r="G151" i="108"/>
  <c r="Q134" i="108"/>
  <c r="T32" i="123"/>
  <c r="R32" i="123"/>
  <c r="V78" i="108"/>
  <c r="P49" i="108"/>
  <c r="M117" i="132"/>
  <c r="M11" i="18"/>
  <c r="M118" i="132"/>
  <c r="M31" i="132"/>
  <c r="T88" i="130"/>
  <c r="J11" i="18"/>
  <c r="J118" i="132"/>
  <c r="J31" i="132"/>
  <c r="J117" i="132"/>
  <c r="H115" i="132"/>
  <c r="U188" i="154"/>
  <c r="Q175" i="90"/>
  <c r="Q199" i="90" s="1"/>
  <c r="V168" i="90"/>
  <c r="U173" i="93"/>
  <c r="U43" i="142"/>
  <c r="Q12" i="142"/>
  <c r="U66" i="83"/>
  <c r="U50" i="83"/>
  <c r="T128" i="152"/>
  <c r="R128" i="152"/>
  <c r="U25" i="83"/>
  <c r="U81" i="83"/>
  <c r="N94" i="151"/>
  <c r="N58" i="81"/>
  <c r="E151" i="150"/>
  <c r="E54" i="81"/>
  <c r="L27" i="81"/>
  <c r="R118" i="134"/>
  <c r="R114" i="134"/>
  <c r="R110" i="134"/>
  <c r="R106" i="134"/>
  <c r="R102" i="134"/>
  <c r="R98" i="134"/>
  <c r="R94" i="134"/>
  <c r="R84" i="134"/>
  <c r="R80" i="134"/>
  <c r="R76" i="134"/>
  <c r="R72" i="134"/>
  <c r="R68" i="134"/>
  <c r="R64" i="134"/>
  <c r="R57" i="134"/>
  <c r="T28" i="134"/>
  <c r="R109" i="134"/>
  <c r="R93" i="134"/>
  <c r="R83" i="134"/>
  <c r="R67" i="134"/>
  <c r="R60" i="134"/>
  <c r="R113" i="134"/>
  <c r="R97" i="134"/>
  <c r="R87" i="134"/>
  <c r="R71" i="134"/>
  <c r="R117" i="134"/>
  <c r="R101" i="134"/>
  <c r="R89" i="134"/>
  <c r="R75" i="134"/>
  <c r="R79" i="134"/>
  <c r="R63" i="134"/>
  <c r="R105" i="134"/>
  <c r="R91" i="134"/>
  <c r="V55" i="108"/>
  <c r="U95" i="147"/>
  <c r="T96" i="146"/>
  <c r="R96" i="146"/>
  <c r="I89" i="108"/>
  <c r="I99" i="108"/>
  <c r="Q27" i="125"/>
  <c r="T27" i="125" s="1"/>
  <c r="E28" i="125"/>
  <c r="E132" i="147" s="1"/>
  <c r="R119" i="134"/>
  <c r="P99" i="108"/>
  <c r="P89" i="108"/>
  <c r="I34" i="122"/>
  <c r="I53" i="108"/>
  <c r="I57" i="108" s="1"/>
  <c r="O99" i="108"/>
  <c r="O89" i="108"/>
  <c r="R32" i="124"/>
  <c r="T32" i="124"/>
  <c r="U149" i="119"/>
  <c r="R149" i="119"/>
  <c r="U95" i="119"/>
  <c r="R95" i="119"/>
  <c r="V120" i="108"/>
  <c r="T139" i="123"/>
  <c r="R139" i="123"/>
  <c r="Q199" i="108"/>
  <c r="N28" i="119"/>
  <c r="U137" i="119"/>
  <c r="R137" i="119"/>
  <c r="U187" i="154"/>
  <c r="Q173" i="153"/>
  <c r="Q193" i="153" s="1"/>
  <c r="Q193" i="93"/>
  <c r="U191" i="93"/>
  <c r="V43" i="90"/>
  <c r="Q195" i="143"/>
  <c r="T166" i="143"/>
  <c r="Q12" i="143"/>
  <c r="T175" i="143"/>
  <c r="T192" i="140"/>
  <c r="V169" i="90"/>
  <c r="U166" i="142"/>
  <c r="Q175" i="139"/>
  <c r="T168" i="139"/>
  <c r="U193" i="142"/>
  <c r="U168" i="142"/>
  <c r="Q175" i="142"/>
  <c r="U187" i="83"/>
  <c r="U189" i="83"/>
  <c r="U145" i="83"/>
  <c r="U129" i="83"/>
  <c r="U113" i="83"/>
  <c r="U97" i="83"/>
  <c r="U154" i="83"/>
  <c r="U138" i="83"/>
  <c r="U122" i="83"/>
  <c r="U106" i="83"/>
  <c r="U72" i="83"/>
  <c r="U169" i="83"/>
  <c r="U142" i="83"/>
  <c r="U121" i="83"/>
  <c r="U99" i="83"/>
  <c r="U76" i="83"/>
  <c r="U53" i="83"/>
  <c r="U29" i="83"/>
  <c r="T150" i="152"/>
  <c r="Q154" i="152"/>
  <c r="T154" i="152" s="1"/>
  <c r="T125" i="152"/>
  <c r="R125" i="152"/>
  <c r="Q133" i="152"/>
  <c r="N143" i="152"/>
  <c r="N35" i="152" s="1"/>
  <c r="N107" i="152" s="1"/>
  <c r="T18" i="151"/>
  <c r="R18" i="151"/>
  <c r="N54" i="81"/>
  <c r="N151" i="150"/>
  <c r="T25" i="135"/>
  <c r="R116" i="134"/>
  <c r="Q68" i="81"/>
  <c r="T119" i="152"/>
  <c r="R119" i="152"/>
  <c r="M103" i="138"/>
  <c r="M60" i="81"/>
  <c r="T15" i="136"/>
  <c r="R79" i="135"/>
  <c r="T127" i="134"/>
  <c r="R127" i="134"/>
  <c r="R90" i="134"/>
  <c r="R69" i="134"/>
  <c r="G78" i="81"/>
  <c r="U111" i="147"/>
  <c r="U97" i="147"/>
  <c r="R136" i="152"/>
  <c r="R131" i="152"/>
  <c r="Q155" i="152"/>
  <c r="T155" i="152" s="1"/>
  <c r="R48" i="152"/>
  <c r="R44" i="152"/>
  <c r="T15" i="152"/>
  <c r="R135" i="152"/>
  <c r="R105" i="152"/>
  <c r="R101" i="152"/>
  <c r="R97" i="152"/>
  <c r="R93" i="152"/>
  <c r="R89" i="152"/>
  <c r="R85" i="152"/>
  <c r="R81" i="152"/>
  <c r="R77" i="152"/>
  <c r="R73" i="152"/>
  <c r="R61" i="152"/>
  <c r="R53" i="152"/>
  <c r="R49" i="152"/>
  <c r="R45" i="152"/>
  <c r="R99" i="152"/>
  <c r="R83" i="152"/>
  <c r="R67" i="152"/>
  <c r="R47" i="152"/>
  <c r="R95" i="152"/>
  <c r="R79" i="152"/>
  <c r="R63" i="152"/>
  <c r="R43" i="152"/>
  <c r="R91" i="152"/>
  <c r="R75" i="152"/>
  <c r="R59" i="152"/>
  <c r="R103" i="152"/>
  <c r="R87" i="152"/>
  <c r="R71" i="152"/>
  <c r="R51" i="152"/>
  <c r="P103" i="138"/>
  <c r="P60" i="81"/>
  <c r="H103" i="138"/>
  <c r="H60" i="81"/>
  <c r="R143" i="134"/>
  <c r="Q128" i="134"/>
  <c r="T126" i="134"/>
  <c r="R126" i="134"/>
  <c r="R115" i="134"/>
  <c r="R82" i="134"/>
  <c r="T110" i="149"/>
  <c r="T154" i="121"/>
  <c r="R154" i="121"/>
  <c r="R80" i="152"/>
  <c r="G151" i="150"/>
  <c r="G54" i="81"/>
  <c r="K60" i="81"/>
  <c r="K103" i="138"/>
  <c r="Q27" i="135"/>
  <c r="R141" i="134"/>
  <c r="R112" i="134"/>
  <c r="R77" i="134"/>
  <c r="I27" i="81"/>
  <c r="Q12" i="149"/>
  <c r="J89" i="108"/>
  <c r="J99" i="108"/>
  <c r="Q153" i="125"/>
  <c r="T145" i="125"/>
  <c r="R145" i="125"/>
  <c r="R146" i="134"/>
  <c r="R70" i="134"/>
  <c r="L99" i="108"/>
  <c r="L89" i="108"/>
  <c r="Q27" i="126"/>
  <c r="E53" i="108"/>
  <c r="R92" i="125"/>
  <c r="R88" i="125"/>
  <c r="R53" i="125"/>
  <c r="T117" i="125"/>
  <c r="R104" i="125"/>
  <c r="R91" i="125"/>
  <c r="R79" i="125"/>
  <c r="R63" i="125"/>
  <c r="R52" i="125"/>
  <c r="R49" i="125"/>
  <c r="R98" i="125"/>
  <c r="R73" i="125"/>
  <c r="R65" i="125"/>
  <c r="R41" i="125"/>
  <c r="R100" i="125"/>
  <c r="R83" i="125"/>
  <c r="R67" i="125"/>
  <c r="R102" i="125"/>
  <c r="R87" i="125"/>
  <c r="R69" i="125"/>
  <c r="R61" i="125"/>
  <c r="U94" i="148"/>
  <c r="R138" i="122"/>
  <c r="R136" i="122"/>
  <c r="R139" i="122"/>
  <c r="R96" i="122"/>
  <c r="R82" i="122"/>
  <c r="R49" i="122"/>
  <c r="R150" i="125"/>
  <c r="N36" i="125"/>
  <c r="R84" i="125"/>
  <c r="R66" i="125"/>
  <c r="R148" i="126"/>
  <c r="T148" i="126"/>
  <c r="T138" i="126"/>
  <c r="R138" i="126"/>
  <c r="R155" i="122"/>
  <c r="R99" i="122"/>
  <c r="R81" i="122"/>
  <c r="T149" i="125"/>
  <c r="R149" i="125"/>
  <c r="R101" i="125"/>
  <c r="R68" i="125"/>
  <c r="T160" i="124"/>
  <c r="R160" i="124"/>
  <c r="K49" i="108"/>
  <c r="K28" i="119"/>
  <c r="R161" i="126"/>
  <c r="T161" i="126"/>
  <c r="R148" i="122"/>
  <c r="R106" i="122"/>
  <c r="R88" i="122"/>
  <c r="R152" i="125"/>
  <c r="R148" i="124"/>
  <c r="T148" i="124"/>
  <c r="T138" i="124"/>
  <c r="R138" i="124"/>
  <c r="R157" i="123"/>
  <c r="R152" i="123"/>
  <c r="R102" i="123"/>
  <c r="R98" i="123"/>
  <c r="R91" i="123"/>
  <c r="R87" i="123"/>
  <c r="R83" i="123"/>
  <c r="R79" i="123"/>
  <c r="R67" i="123"/>
  <c r="R61" i="123"/>
  <c r="R55" i="123"/>
  <c r="R51" i="123"/>
  <c r="R39" i="123"/>
  <c r="R158" i="123"/>
  <c r="T117" i="123"/>
  <c r="R156" i="123"/>
  <c r="R151" i="123"/>
  <c r="R105" i="123"/>
  <c r="R86" i="123"/>
  <c r="R70" i="123"/>
  <c r="R63" i="123"/>
  <c r="R90" i="123"/>
  <c r="R94" i="123"/>
  <c r="R78" i="123"/>
  <c r="R101" i="123"/>
  <c r="R82" i="123"/>
  <c r="R66" i="123"/>
  <c r="U131" i="119"/>
  <c r="Q134" i="119"/>
  <c r="R131" i="119"/>
  <c r="N34" i="119"/>
  <c r="N53" i="108"/>
  <c r="J49" i="108"/>
  <c r="R157" i="122"/>
  <c r="R105" i="122"/>
  <c r="R87" i="122"/>
  <c r="T137" i="125"/>
  <c r="R137" i="125"/>
  <c r="R97" i="125"/>
  <c r="T146" i="123"/>
  <c r="R146" i="123"/>
  <c r="R68" i="123"/>
  <c r="I49" i="108"/>
  <c r="K53" i="108"/>
  <c r="K57" i="108" s="1"/>
  <c r="L49" i="108"/>
  <c r="H148" i="108"/>
  <c r="R148" i="125"/>
  <c r="T131" i="123"/>
  <c r="Q134" i="123"/>
  <c r="R131" i="123"/>
  <c r="J28" i="119"/>
  <c r="Q97" i="127"/>
  <c r="T90" i="127"/>
  <c r="Q127" i="132"/>
  <c r="R80" i="123"/>
  <c r="E45" i="108"/>
  <c r="Q30" i="108"/>
  <c r="R137" i="123"/>
  <c r="T137" i="123"/>
  <c r="R104" i="123"/>
  <c r="R85" i="123"/>
  <c r="R49" i="123"/>
  <c r="V123" i="108"/>
  <c r="V105" i="108"/>
  <c r="Q18" i="130"/>
  <c r="R160" i="123"/>
  <c r="Q143" i="123"/>
  <c r="R89" i="123"/>
  <c r="P53" i="108"/>
  <c r="P57" i="108" s="1"/>
  <c r="P34" i="119"/>
  <c r="H53" i="108"/>
  <c r="H57" i="108" s="1"/>
  <c r="H34" i="119"/>
  <c r="Q11" i="130"/>
  <c r="M116" i="132"/>
  <c r="M65" i="18"/>
  <c r="Q44" i="132"/>
  <c r="L116" i="132"/>
  <c r="L65" i="18"/>
  <c r="N11" i="18"/>
  <c r="N118" i="132"/>
  <c r="N31" i="132"/>
  <c r="N117" i="132"/>
  <c r="L117" i="132"/>
  <c r="F115" i="132"/>
  <c r="Q171" i="154"/>
  <c r="U166" i="154"/>
  <c r="R127" i="152"/>
  <c r="T127" i="152"/>
  <c r="U147" i="83"/>
  <c r="U105" i="83"/>
  <c r="U58" i="83"/>
  <c r="T113" i="152"/>
  <c r="R113" i="152"/>
  <c r="F94" i="151"/>
  <c r="F58" i="81"/>
  <c r="Q137" i="138"/>
  <c r="T137" i="138" s="1"/>
  <c r="T108" i="138"/>
  <c r="T100" i="149"/>
  <c r="R66" i="134"/>
  <c r="K151" i="150"/>
  <c r="K54" i="81"/>
  <c r="N89" i="108"/>
  <c r="N99" i="108"/>
  <c r="U92" i="147"/>
  <c r="T133" i="125"/>
  <c r="R133" i="125"/>
  <c r="G70" i="108"/>
  <c r="G99" i="108"/>
  <c r="G89" i="108"/>
  <c r="O148" i="108"/>
  <c r="O151" i="108"/>
  <c r="V93" i="108"/>
  <c r="V101" i="108"/>
  <c r="V110" i="108"/>
  <c r="G118" i="132"/>
  <c r="G31" i="132"/>
  <c r="G117" i="132"/>
  <c r="G11" i="18"/>
  <c r="Q146" i="132"/>
  <c r="I116" i="132"/>
  <c r="I65" i="18"/>
  <c r="U173" i="154"/>
  <c r="Q181" i="154"/>
  <c r="U175" i="154"/>
  <c r="U167" i="154"/>
  <c r="U170" i="154"/>
  <c r="Q174" i="93"/>
  <c r="U167" i="93"/>
  <c r="U182" i="93"/>
  <c r="U192" i="142"/>
  <c r="U176" i="93"/>
  <c r="Q184" i="93"/>
  <c r="Q12" i="90"/>
  <c r="U155" i="83"/>
  <c r="U139" i="83"/>
  <c r="U123" i="83"/>
  <c r="U107" i="83"/>
  <c r="U79" i="83"/>
  <c r="U32" i="83"/>
  <c r="U16" i="83"/>
  <c r="T139" i="152"/>
  <c r="R139" i="152"/>
  <c r="Q142" i="152"/>
  <c r="T185" i="143"/>
  <c r="U65" i="83"/>
  <c r="U49" i="83"/>
  <c r="U15" i="83"/>
  <c r="U137" i="83"/>
  <c r="U115" i="83"/>
  <c r="U94" i="83"/>
  <c r="U69" i="83"/>
  <c r="U48" i="83"/>
  <c r="U24" i="83"/>
  <c r="T14" i="135"/>
  <c r="R84" i="135"/>
  <c r="R68" i="135"/>
  <c r="R72" i="135"/>
  <c r="R76" i="135"/>
  <c r="R60" i="135"/>
  <c r="R64" i="135"/>
  <c r="R80" i="135"/>
  <c r="J143" i="152"/>
  <c r="J35" i="152" s="1"/>
  <c r="J107" i="152" s="1"/>
  <c r="O94" i="151"/>
  <c r="O58" i="81"/>
  <c r="L151" i="150"/>
  <c r="L54" i="81"/>
  <c r="J54" i="81"/>
  <c r="J151" i="150"/>
  <c r="R61" i="135"/>
  <c r="R88" i="134"/>
  <c r="R65" i="134"/>
  <c r="J94" i="151"/>
  <c r="J58" i="81"/>
  <c r="M151" i="150"/>
  <c r="M54" i="81"/>
  <c r="Q20" i="81"/>
  <c r="E27" i="81"/>
  <c r="E13" i="18"/>
  <c r="P13" i="18"/>
  <c r="Q19" i="81"/>
  <c r="H13" i="18"/>
  <c r="R144" i="134"/>
  <c r="T144" i="134"/>
  <c r="T134" i="134"/>
  <c r="R134" i="134"/>
  <c r="R111" i="134"/>
  <c r="R104" i="134"/>
  <c r="R85" i="134"/>
  <c r="R62" i="134"/>
  <c r="T120" i="149"/>
  <c r="T94" i="136"/>
  <c r="T21" i="136"/>
  <c r="R69" i="135"/>
  <c r="M157" i="134"/>
  <c r="M49" i="134" s="1"/>
  <c r="E157" i="134"/>
  <c r="E49" i="134" s="1"/>
  <c r="R59" i="134"/>
  <c r="R130" i="152"/>
  <c r="R98" i="152"/>
  <c r="R66" i="152"/>
  <c r="R117" i="152"/>
  <c r="Q71" i="81"/>
  <c r="N27" i="81"/>
  <c r="F89" i="108"/>
  <c r="F99" i="108"/>
  <c r="R155" i="134"/>
  <c r="R86" i="134"/>
  <c r="Q12" i="147"/>
  <c r="R159" i="125"/>
  <c r="T159" i="125"/>
  <c r="R163" i="121"/>
  <c r="T163" i="121"/>
  <c r="H99" i="108"/>
  <c r="H89" i="108"/>
  <c r="P128" i="148"/>
  <c r="T131" i="125"/>
  <c r="Q134" i="125"/>
  <c r="R131" i="125"/>
  <c r="T159" i="126"/>
  <c r="R159" i="126"/>
  <c r="R160" i="125"/>
  <c r="R140" i="125"/>
  <c r="R82" i="125"/>
  <c r="R58" i="125"/>
  <c r="T136" i="124"/>
  <c r="R136" i="124"/>
  <c r="R162" i="122"/>
  <c r="R93" i="122"/>
  <c r="R139" i="125"/>
  <c r="T139" i="125"/>
  <c r="R86" i="125"/>
  <c r="R60" i="125"/>
  <c r="T140" i="124"/>
  <c r="R140" i="124"/>
  <c r="R132" i="124"/>
  <c r="T132" i="124"/>
  <c r="G49" i="108"/>
  <c r="G28" i="119"/>
  <c r="T17" i="121"/>
  <c r="Q29" i="121"/>
  <c r="T147" i="126"/>
  <c r="R147" i="126"/>
  <c r="R102" i="122"/>
  <c r="R84" i="122"/>
  <c r="R68" i="122"/>
  <c r="R55" i="122"/>
  <c r="J128" i="148"/>
  <c r="R90" i="125"/>
  <c r="R70" i="125"/>
  <c r="T131" i="124"/>
  <c r="Q134" i="124"/>
  <c r="R131" i="124"/>
  <c r="J34" i="119"/>
  <c r="J53" i="108"/>
  <c r="J57" i="108" s="1"/>
  <c r="N148" i="108"/>
  <c r="R101" i="122"/>
  <c r="R83" i="122"/>
  <c r="R66" i="122"/>
  <c r="R50" i="122"/>
  <c r="R136" i="125"/>
  <c r="R94" i="125"/>
  <c r="R40" i="125"/>
  <c r="R148" i="123"/>
  <c r="T140" i="123"/>
  <c r="R140" i="123"/>
  <c r="L36" i="123"/>
  <c r="R132" i="123"/>
  <c r="R84" i="123"/>
  <c r="R60" i="123"/>
  <c r="R41" i="123"/>
  <c r="Q34" i="123"/>
  <c r="T31" i="123"/>
  <c r="O108" i="119"/>
  <c r="K108" i="119"/>
  <c r="G108" i="119"/>
  <c r="R161" i="125"/>
  <c r="R161" i="123"/>
  <c r="Q54" i="119"/>
  <c r="L53" i="108"/>
  <c r="L57" i="108" s="1"/>
  <c r="L34" i="119"/>
  <c r="R138" i="123"/>
  <c r="U159" i="119"/>
  <c r="R159" i="119"/>
  <c r="P163" i="119"/>
  <c r="P36" i="119" s="1"/>
  <c r="F28" i="119"/>
  <c r="R53" i="123"/>
  <c r="M49" i="108"/>
  <c r="Q32" i="119"/>
  <c r="E54" i="108"/>
  <c r="T95" i="131"/>
  <c r="R62" i="123"/>
  <c r="U136" i="119"/>
  <c r="R136" i="119"/>
  <c r="I28" i="119"/>
  <c r="V64" i="108"/>
  <c r="F136" i="132"/>
  <c r="F157" i="132" s="1"/>
  <c r="O118" i="132"/>
  <c r="O31" i="132"/>
  <c r="O117" i="132"/>
  <c r="O11" i="18"/>
  <c r="Q155" i="132"/>
  <c r="E20" i="132"/>
  <c r="H118" i="132"/>
  <c r="H31" i="132"/>
  <c r="H117" i="132"/>
  <c r="H11" i="18"/>
  <c r="T116" i="127"/>
  <c r="U176" i="154"/>
  <c r="T169" i="140"/>
  <c r="T166" i="139"/>
  <c r="Q147" i="134"/>
  <c r="T139" i="134"/>
  <c r="R139" i="134"/>
  <c r="U41" i="83"/>
  <c r="G94" i="151"/>
  <c r="G58" i="81"/>
  <c r="R140" i="134"/>
  <c r="T140" i="134"/>
  <c r="R47" i="134"/>
  <c r="T47" i="134"/>
  <c r="L56" i="81"/>
  <c r="I157" i="134"/>
  <c r="I49" i="134" s="1"/>
  <c r="R92" i="134"/>
  <c r="O60" i="81"/>
  <c r="O103" i="138"/>
  <c r="O56" i="81"/>
  <c r="R61" i="134"/>
  <c r="R132" i="134"/>
  <c r="T136" i="126"/>
  <c r="R136" i="126"/>
  <c r="H128" i="148"/>
  <c r="O49" i="108"/>
  <c r="O28" i="119"/>
  <c r="T145" i="123"/>
  <c r="R145" i="123"/>
  <c r="Q153" i="123"/>
  <c r="T159" i="123"/>
  <c r="R159" i="123"/>
  <c r="T150" i="123"/>
  <c r="R150" i="123"/>
  <c r="U160" i="119"/>
  <c r="R160" i="119"/>
  <c r="K148" i="108"/>
  <c r="K151" i="108"/>
  <c r="V102" i="108"/>
  <c r="Q27" i="124"/>
  <c r="T27" i="124" s="1"/>
  <c r="L163" i="119"/>
  <c r="L36" i="119" s="1"/>
  <c r="E49" i="108"/>
  <c r="Q27" i="119"/>
  <c r="U27" i="119" s="1"/>
  <c r="V117" i="108"/>
  <c r="V128" i="108"/>
  <c r="N115" i="132"/>
  <c r="Q190" i="154"/>
  <c r="U177" i="93"/>
  <c r="V192" i="90"/>
  <c r="Q194" i="90"/>
  <c r="U185" i="142"/>
  <c r="Q165" i="93"/>
  <c r="U163" i="93"/>
  <c r="U73" i="83"/>
  <c r="U56" i="83"/>
  <c r="U42" i="83"/>
  <c r="U26" i="83"/>
  <c r="R153" i="134"/>
  <c r="T153" i="134"/>
  <c r="U191" i="83"/>
  <c r="U153" i="83"/>
  <c r="U131" i="83"/>
  <c r="U110" i="83"/>
  <c r="U88" i="83"/>
  <c r="U64" i="83"/>
  <c r="U40" i="83"/>
  <c r="U18" i="83"/>
  <c r="T141" i="152"/>
  <c r="R141" i="152"/>
  <c r="T126" i="152"/>
  <c r="R126" i="152"/>
  <c r="T116" i="152"/>
  <c r="R116" i="152"/>
  <c r="T100" i="138"/>
  <c r="R100" i="138"/>
  <c r="E88" i="81"/>
  <c r="Q80" i="81"/>
  <c r="F143" i="152"/>
  <c r="F35" i="152" s="1"/>
  <c r="F107" i="152" s="1"/>
  <c r="K94" i="151"/>
  <c r="K58" i="81"/>
  <c r="F54" i="81"/>
  <c r="F151" i="150"/>
  <c r="I103" i="138"/>
  <c r="I60" i="81"/>
  <c r="T102" i="136"/>
  <c r="T125" i="135"/>
  <c r="R77" i="135"/>
  <c r="R59" i="135"/>
  <c r="Q72" i="81"/>
  <c r="R107" i="134"/>
  <c r="R81" i="134"/>
  <c r="R58" i="134"/>
  <c r="U87" i="81"/>
  <c r="Q114" i="152"/>
  <c r="T112" i="152"/>
  <c r="R112" i="152"/>
  <c r="U43" i="81"/>
  <c r="I151" i="150"/>
  <c r="I54" i="81"/>
  <c r="Q29" i="138"/>
  <c r="R29" i="138" s="1"/>
  <c r="R65" i="135"/>
  <c r="R78" i="134"/>
  <c r="P27" i="81"/>
  <c r="Q128" i="151"/>
  <c r="T128" i="151" s="1"/>
  <c r="R27" i="138"/>
  <c r="L103" i="138"/>
  <c r="L60" i="81"/>
  <c r="P56" i="81"/>
  <c r="R67" i="135"/>
  <c r="R133" i="134"/>
  <c r="E69" i="81"/>
  <c r="R99" i="134"/>
  <c r="R73" i="134"/>
  <c r="R129" i="152"/>
  <c r="R96" i="152"/>
  <c r="R64" i="152"/>
  <c r="O151" i="150"/>
  <c r="O54" i="81"/>
  <c r="T142" i="134"/>
  <c r="R142" i="134"/>
  <c r="R96" i="134"/>
  <c r="E78" i="81"/>
  <c r="J27" i="81"/>
  <c r="Q134" i="126"/>
  <c r="T131" i="126"/>
  <c r="R131" i="126"/>
  <c r="R154" i="134"/>
  <c r="Q25" i="81"/>
  <c r="Q101" i="147"/>
  <c r="M89" i="108"/>
  <c r="M99" i="108"/>
  <c r="U96" i="148"/>
  <c r="T92" i="149"/>
  <c r="Q121" i="149"/>
  <c r="Q24" i="146"/>
  <c r="E97" i="146"/>
  <c r="E98" i="146" s="1"/>
  <c r="T145" i="126"/>
  <c r="R145" i="126"/>
  <c r="Q153" i="126"/>
  <c r="E34" i="126"/>
  <c r="Q31" i="126"/>
  <c r="L128" i="148"/>
  <c r="M34" i="122"/>
  <c r="M53" i="108"/>
  <c r="T145" i="124"/>
  <c r="R145" i="124"/>
  <c r="Q153" i="124"/>
  <c r="Q32" i="121"/>
  <c r="R156" i="122"/>
  <c r="R104" i="122"/>
  <c r="R90" i="122"/>
  <c r="R57" i="122"/>
  <c r="R40" i="122"/>
  <c r="G163" i="124"/>
  <c r="G36" i="124" s="1"/>
  <c r="K99" i="108"/>
  <c r="K89" i="108"/>
  <c r="E28" i="126"/>
  <c r="E134" i="147" s="1"/>
  <c r="R149" i="122"/>
  <c r="R89" i="122"/>
  <c r="R55" i="125"/>
  <c r="R39" i="125"/>
  <c r="Q31" i="125"/>
  <c r="Q31" i="124"/>
  <c r="G128" i="148"/>
  <c r="R158" i="122"/>
  <c r="R98" i="122"/>
  <c r="R80" i="122"/>
  <c r="R67" i="122"/>
  <c r="R51" i="122"/>
  <c r="N128" i="148"/>
  <c r="T147" i="125"/>
  <c r="R147" i="125"/>
  <c r="T138" i="125"/>
  <c r="R138" i="125"/>
  <c r="R62" i="125"/>
  <c r="R51" i="125"/>
  <c r="T159" i="124"/>
  <c r="R159" i="124"/>
  <c r="R155" i="123"/>
  <c r="F34" i="119"/>
  <c r="Q31" i="119"/>
  <c r="J148" i="108"/>
  <c r="R147" i="122"/>
  <c r="R97" i="122"/>
  <c r="R79" i="122"/>
  <c r="R132" i="125"/>
  <c r="R149" i="123"/>
  <c r="R147" i="123"/>
  <c r="R103" i="123"/>
  <c r="O53" i="108"/>
  <c r="O57" i="108" s="1"/>
  <c r="G53" i="108"/>
  <c r="V108" i="108"/>
  <c r="R88" i="123"/>
  <c r="R65" i="123"/>
  <c r="I34" i="119"/>
  <c r="Q137" i="108"/>
  <c r="V124" i="108"/>
  <c r="R97" i="123"/>
  <c r="R76" i="123"/>
  <c r="R40" i="123"/>
  <c r="R146" i="119"/>
  <c r="U146" i="119"/>
  <c r="E28" i="119"/>
  <c r="Q136" i="108"/>
  <c r="V116" i="108"/>
  <c r="V63" i="108"/>
  <c r="E65" i="18"/>
  <c r="E115" i="132"/>
  <c r="K118" i="132"/>
  <c r="K31" i="132"/>
  <c r="K117" i="132"/>
  <c r="K11" i="18"/>
  <c r="R136" i="123"/>
  <c r="R99" i="123"/>
  <c r="P28" i="119"/>
  <c r="H28" i="119"/>
  <c r="U17" i="119"/>
  <c r="Q64" i="132"/>
  <c r="P116" i="132"/>
  <c r="P65" i="18"/>
  <c r="G115" i="132"/>
  <c r="F11" i="18"/>
  <c r="F118" i="132"/>
  <c r="F31" i="132"/>
  <c r="F117" i="132"/>
  <c r="N117" i="127"/>
  <c r="N11" i="127" s="1"/>
  <c r="N33" i="132" s="1"/>
  <c r="N129" i="132"/>
  <c r="N136" i="132" s="1"/>
  <c r="N157" i="132" s="1"/>
  <c r="T88" i="127"/>
  <c r="O65" i="18"/>
  <c r="O116" i="132"/>
  <c r="K65" i="18"/>
  <c r="K116" i="132"/>
  <c r="U96" i="81" l="1"/>
  <c r="Y161" i="154"/>
  <c r="AA161" i="154" s="1"/>
  <c r="AA163" i="154"/>
  <c r="F269" i="153"/>
  <c r="F257" i="153"/>
  <c r="F259" i="153"/>
  <c r="F263" i="153"/>
  <c r="F250" i="153"/>
  <c r="F254" i="153"/>
  <c r="F83" i="149" s="1"/>
  <c r="F84" i="149" s="1"/>
  <c r="F86" i="149" s="1"/>
  <c r="F271" i="153"/>
  <c r="F266" i="153"/>
  <c r="F255" i="153"/>
  <c r="F264" i="153"/>
  <c r="F252" i="153"/>
  <c r="F81" i="131" s="1"/>
  <c r="F82" i="131" s="1"/>
  <c r="F261" i="153"/>
  <c r="F120" i="134" s="1"/>
  <c r="F31" i="81" s="1"/>
  <c r="F267" i="153"/>
  <c r="F265" i="153"/>
  <c r="F251" i="153"/>
  <c r="F256" i="153"/>
  <c r="F262" i="153"/>
  <c r="F260" i="153"/>
  <c r="F270" i="153"/>
  <c r="F268" i="153"/>
  <c r="F258" i="153"/>
  <c r="F253" i="153"/>
  <c r="F81" i="144" s="1"/>
  <c r="F82" i="144" s="1"/>
  <c r="R81" i="121"/>
  <c r="O138" i="147"/>
  <c r="H137" i="147"/>
  <c r="M137" i="147"/>
  <c r="P140" i="147"/>
  <c r="N139" i="147"/>
  <c r="O137" i="147"/>
  <c r="I138" i="147"/>
  <c r="I140" i="147"/>
  <c r="J139" i="147"/>
  <c r="L139" i="147"/>
  <c r="H141" i="147"/>
  <c r="L141" i="147"/>
  <c r="G137" i="147"/>
  <c r="P141" i="147"/>
  <c r="J140" i="147"/>
  <c r="M141" i="147"/>
  <c r="L138" i="147"/>
  <c r="P138" i="147"/>
  <c r="G139" i="147"/>
  <c r="G138" i="147"/>
  <c r="I137" i="147"/>
  <c r="L137" i="147"/>
  <c r="K140" i="147"/>
  <c r="J138" i="147"/>
  <c r="N138" i="147"/>
  <c r="K138" i="147"/>
  <c r="I141" i="147"/>
  <c r="H140" i="147"/>
  <c r="P139" i="147"/>
  <c r="K141" i="147"/>
  <c r="N141" i="147"/>
  <c r="J137" i="147"/>
  <c r="G140" i="147"/>
  <c r="H139" i="147"/>
  <c r="O141" i="147"/>
  <c r="O140" i="147"/>
  <c r="K139" i="147"/>
  <c r="N140" i="147"/>
  <c r="M140" i="147"/>
  <c r="M139" i="147"/>
  <c r="E12" i="154"/>
  <c r="Q12" i="154" s="1"/>
  <c r="U12" i="154" s="1"/>
  <c r="Y206" i="108"/>
  <c r="Q199" i="93"/>
  <c r="Q198" i="154"/>
  <c r="Q198" i="93"/>
  <c r="Q200" i="90"/>
  <c r="Q199" i="153"/>
  <c r="Q201" i="153" s="1"/>
  <c r="Q195" i="90"/>
  <c r="Q196" i="90" s="1"/>
  <c r="U164" i="154"/>
  <c r="Q197" i="154"/>
  <c r="R64" i="126"/>
  <c r="R46" i="126"/>
  <c r="R73" i="121"/>
  <c r="R57" i="121"/>
  <c r="R49" i="121"/>
  <c r="Q162" i="132"/>
  <c r="U166" i="83"/>
  <c r="E131" i="147"/>
  <c r="Q132" i="147"/>
  <c r="Q134" i="147"/>
  <c r="Q80" i="108"/>
  <c r="V80" i="108" s="1"/>
  <c r="R46" i="125"/>
  <c r="R45" i="125"/>
  <c r="Q129" i="108"/>
  <c r="V129" i="108" s="1"/>
  <c r="R43" i="125"/>
  <c r="Q104" i="108"/>
  <c r="V104" i="108" s="1"/>
  <c r="R77" i="125"/>
  <c r="R75" i="125"/>
  <c r="R81" i="125"/>
  <c r="R42" i="125"/>
  <c r="R56" i="125"/>
  <c r="Q73" i="108"/>
  <c r="V73" i="108" s="1"/>
  <c r="R57" i="125"/>
  <c r="R44" i="125"/>
  <c r="R48" i="125"/>
  <c r="R47" i="125"/>
  <c r="R92" i="123"/>
  <c r="R43" i="123"/>
  <c r="R106" i="123"/>
  <c r="R72" i="123"/>
  <c r="R56" i="123"/>
  <c r="R45" i="123"/>
  <c r="R47" i="123"/>
  <c r="R42" i="123"/>
  <c r="R54" i="123"/>
  <c r="R73" i="123"/>
  <c r="R74" i="123"/>
  <c r="R81" i="123"/>
  <c r="R44" i="123"/>
  <c r="R50" i="123"/>
  <c r="R54" i="125"/>
  <c r="T17" i="125"/>
  <c r="R57" i="123"/>
  <c r="R77" i="123"/>
  <c r="R46" i="123"/>
  <c r="R48" i="123"/>
  <c r="R58" i="123"/>
  <c r="R71" i="123"/>
  <c r="R64" i="123"/>
  <c r="R75" i="123"/>
  <c r="E98" i="81"/>
  <c r="Q68" i="108"/>
  <c r="V68" i="108" s="1"/>
  <c r="Q98" i="108"/>
  <c r="V98" i="108" s="1"/>
  <c r="Q94" i="108"/>
  <c r="V94" i="108" s="1"/>
  <c r="Q97" i="108"/>
  <c r="V97" i="108" s="1"/>
  <c r="Q96" i="108"/>
  <c r="V96" i="108" s="1"/>
  <c r="Q67" i="108"/>
  <c r="V67" i="108" s="1"/>
  <c r="Q82" i="108"/>
  <c r="V82" i="108" s="1"/>
  <c r="Q71" i="108"/>
  <c r="V71" i="108" s="1"/>
  <c r="Q66" i="108"/>
  <c r="V66" i="108" s="1"/>
  <c r="Q79" i="108"/>
  <c r="V79" i="108" s="1"/>
  <c r="Q95" i="108"/>
  <c r="V95" i="108" s="1"/>
  <c r="R31" i="123"/>
  <c r="T17" i="123"/>
  <c r="Q33" i="132"/>
  <c r="S33" i="132" s="1"/>
  <c r="Q92" i="151"/>
  <c r="T92" i="151" s="1"/>
  <c r="Q163" i="108"/>
  <c r="V163" i="108" s="1"/>
  <c r="Q155" i="108"/>
  <c r="V155" i="108" s="1"/>
  <c r="R156" i="134"/>
  <c r="R23" i="136"/>
  <c r="R95" i="136"/>
  <c r="V146" i="108"/>
  <c r="T32" i="125"/>
  <c r="J50" i="108"/>
  <c r="J12" i="18" s="1"/>
  <c r="J16" i="18" s="1"/>
  <c r="L199" i="83"/>
  <c r="Q76" i="81"/>
  <c r="U76" i="81" s="1"/>
  <c r="O183" i="108"/>
  <c r="G100" i="108"/>
  <c r="U25" i="81"/>
  <c r="R61" i="81"/>
  <c r="R43" i="81"/>
  <c r="U22" i="81"/>
  <c r="R58" i="81"/>
  <c r="R40" i="81"/>
  <c r="J100" i="108"/>
  <c r="R55" i="81"/>
  <c r="R37" i="81"/>
  <c r="U20" i="81"/>
  <c r="R38" i="81"/>
  <c r="P100" i="108"/>
  <c r="O100" i="108"/>
  <c r="U24" i="81"/>
  <c r="R42" i="81"/>
  <c r="N100" i="108"/>
  <c r="P183" i="108"/>
  <c r="L183" i="108"/>
  <c r="Q183" i="108"/>
  <c r="N183" i="108"/>
  <c r="K183" i="108"/>
  <c r="G183" i="108"/>
  <c r="O157" i="154"/>
  <c r="O158" i="154" s="1"/>
  <c r="H157" i="154"/>
  <c r="H158" i="154" s="1"/>
  <c r="P157" i="154"/>
  <c r="P158" i="154" s="1"/>
  <c r="K157" i="154"/>
  <c r="K158" i="154" s="1"/>
  <c r="N157" i="154"/>
  <c r="N158" i="154" s="1"/>
  <c r="F157" i="154"/>
  <c r="F158" i="154" s="1"/>
  <c r="M157" i="154"/>
  <c r="M158" i="154" s="1"/>
  <c r="G157" i="154"/>
  <c r="G158" i="154" s="1"/>
  <c r="I157" i="154"/>
  <c r="I158" i="154" s="1"/>
  <c r="H157" i="132"/>
  <c r="E202" i="108"/>
  <c r="J196" i="83"/>
  <c r="J12" i="83" s="1"/>
  <c r="K50" i="108"/>
  <c r="K12" i="18" s="1"/>
  <c r="K16" i="18" s="1"/>
  <c r="G57" i="108"/>
  <c r="I98" i="81"/>
  <c r="P165" i="108"/>
  <c r="G67" i="18"/>
  <c r="G68" i="18" s="1"/>
  <c r="J158" i="154"/>
  <c r="Q194" i="140"/>
  <c r="Q195" i="140" s="1"/>
  <c r="O199" i="83"/>
  <c r="H199" i="83"/>
  <c r="H196" i="83"/>
  <c r="H12" i="83" s="1"/>
  <c r="E50" i="108"/>
  <c r="E12" i="18" s="1"/>
  <c r="J87" i="108"/>
  <c r="O85" i="108"/>
  <c r="N70" i="108"/>
  <c r="I195" i="83"/>
  <c r="Q164" i="108"/>
  <c r="V164" i="108" s="1"/>
  <c r="E165" i="108"/>
  <c r="M109" i="152"/>
  <c r="E31" i="132"/>
  <c r="M70" i="108"/>
  <c r="Q12" i="140"/>
  <c r="T12" i="140" s="1"/>
  <c r="G199" i="83"/>
  <c r="F196" i="83"/>
  <c r="F12" i="83" s="1"/>
  <c r="F199" i="83"/>
  <c r="S48" i="132"/>
  <c r="M196" i="83"/>
  <c r="M12" i="83" s="1"/>
  <c r="M199" i="83"/>
  <c r="P196" i="83"/>
  <c r="P12" i="83" s="1"/>
  <c r="P199" i="83"/>
  <c r="K87" i="108"/>
  <c r="L70" i="108"/>
  <c r="K70" i="108"/>
  <c r="E199" i="83"/>
  <c r="E196" i="83"/>
  <c r="E12" i="83" s="1"/>
  <c r="N199" i="83"/>
  <c r="N196" i="83"/>
  <c r="N12" i="83" s="1"/>
  <c r="Q194" i="83"/>
  <c r="L158" i="154"/>
  <c r="K157" i="153"/>
  <c r="K158" i="153" s="1"/>
  <c r="K159" i="153" s="1"/>
  <c r="K249" i="153" s="1"/>
  <c r="Q175" i="83"/>
  <c r="U175" i="83" s="1"/>
  <c r="I61" i="81"/>
  <c r="J98" i="81"/>
  <c r="L109" i="152"/>
  <c r="I157" i="153"/>
  <c r="I158" i="153" s="1"/>
  <c r="I159" i="153" s="1"/>
  <c r="I249" i="153" s="1"/>
  <c r="H77" i="108"/>
  <c r="L84" i="108"/>
  <c r="I165" i="108"/>
  <c r="J67" i="18"/>
  <c r="J68" i="18" s="1"/>
  <c r="N57" i="108"/>
  <c r="N84" i="108"/>
  <c r="P77" i="108"/>
  <c r="M87" i="108"/>
  <c r="O83" i="108"/>
  <c r="Q97" i="81"/>
  <c r="U97" i="81" s="1"/>
  <c r="N50" i="108"/>
  <c r="N12" i="18" s="1"/>
  <c r="H54" i="81"/>
  <c r="Q54" i="81" s="1"/>
  <c r="G50" i="108"/>
  <c r="G12" i="18" s="1"/>
  <c r="G16" i="18" s="1"/>
  <c r="F156" i="132"/>
  <c r="O77" i="108"/>
  <c r="K83" i="108"/>
  <c r="I50" i="108"/>
  <c r="I12" i="18" s="1"/>
  <c r="I16" i="18" s="1"/>
  <c r="M165" i="108"/>
  <c r="T144" i="121"/>
  <c r="J157" i="153"/>
  <c r="J158" i="153" s="1"/>
  <c r="J159" i="153" s="1"/>
  <c r="J249" i="153" s="1"/>
  <c r="I70" i="108"/>
  <c r="P50" i="108"/>
  <c r="P12" i="18" s="1"/>
  <c r="Q28" i="125"/>
  <c r="T28" i="125" s="1"/>
  <c r="N156" i="132"/>
  <c r="L85" i="108"/>
  <c r="G77" i="108"/>
  <c r="J70" i="108"/>
  <c r="H70" i="108"/>
  <c r="Q43" i="83"/>
  <c r="U43" i="83" s="1"/>
  <c r="L165" i="108"/>
  <c r="J83" i="108"/>
  <c r="O70" i="108"/>
  <c r="M77" i="108"/>
  <c r="G83" i="108"/>
  <c r="G87" i="108"/>
  <c r="N77" i="108"/>
  <c r="N83" i="108"/>
  <c r="K77" i="108"/>
  <c r="P83" i="108"/>
  <c r="P70" i="108"/>
  <c r="I83" i="108"/>
  <c r="G86" i="108"/>
  <c r="L86" i="108"/>
  <c r="S73" i="132"/>
  <c r="Q145" i="93"/>
  <c r="Q35" i="153"/>
  <c r="N98" i="81"/>
  <c r="H98" i="81"/>
  <c r="L98" i="81"/>
  <c r="Q117" i="127"/>
  <c r="Q118" i="127" s="1"/>
  <c r="M57" i="108"/>
  <c r="T162" i="125"/>
  <c r="M86" i="108"/>
  <c r="T33" i="121"/>
  <c r="R143" i="125"/>
  <c r="O86" i="108"/>
  <c r="U165" i="83"/>
  <c r="E118" i="132"/>
  <c r="Q54" i="108"/>
  <c r="V54" i="108" s="1"/>
  <c r="I86" i="108"/>
  <c r="E86" i="108"/>
  <c r="P86" i="108"/>
  <c r="P98" i="81"/>
  <c r="T20" i="151"/>
  <c r="Q114" i="150"/>
  <c r="Q151" i="150" s="1"/>
  <c r="F98" i="81"/>
  <c r="P61" i="81"/>
  <c r="M50" i="108"/>
  <c r="M12" i="18" s="1"/>
  <c r="M16" i="18" s="1"/>
  <c r="Q195" i="142"/>
  <c r="T42" i="150"/>
  <c r="M98" i="81"/>
  <c r="H86" i="108"/>
  <c r="N86" i="108"/>
  <c r="K86" i="108"/>
  <c r="L50" i="108"/>
  <c r="L12" i="18" s="1"/>
  <c r="L157" i="153"/>
  <c r="L158" i="153" s="1"/>
  <c r="L159" i="153" s="1"/>
  <c r="L249" i="153" s="1"/>
  <c r="R162" i="119"/>
  <c r="T111" i="136"/>
  <c r="O98" i="81"/>
  <c r="E109" i="119"/>
  <c r="E110" i="119" s="1"/>
  <c r="G109" i="152"/>
  <c r="Q131" i="136"/>
  <c r="T131" i="136" s="1"/>
  <c r="H61" i="81"/>
  <c r="T162" i="123"/>
  <c r="R162" i="124"/>
  <c r="U153" i="119"/>
  <c r="G98" i="81"/>
  <c r="Q36" i="123"/>
  <c r="T36" i="123" s="1"/>
  <c r="P109" i="119"/>
  <c r="P110" i="119" s="1"/>
  <c r="Q36" i="119"/>
  <c r="U36" i="119" s="1"/>
  <c r="Q36" i="126"/>
  <c r="R162" i="126"/>
  <c r="K109" i="152"/>
  <c r="E90" i="83"/>
  <c r="J90" i="83"/>
  <c r="L90" i="83"/>
  <c r="I90" i="83"/>
  <c r="G90" i="83"/>
  <c r="H90" i="83"/>
  <c r="N90" i="83"/>
  <c r="M90" i="83"/>
  <c r="O90" i="83"/>
  <c r="P90" i="83"/>
  <c r="Q90" i="141"/>
  <c r="F90" i="83"/>
  <c r="H67" i="18"/>
  <c r="H68" i="18" s="1"/>
  <c r="I87" i="108"/>
  <c r="P84" i="108"/>
  <c r="O84" i="108"/>
  <c r="I85" i="108"/>
  <c r="I84" i="108"/>
  <c r="N85" i="108"/>
  <c r="N87" i="108"/>
  <c r="L87" i="108"/>
  <c r="P87" i="108"/>
  <c r="H50" i="108"/>
  <c r="H12" i="18" s="1"/>
  <c r="P157" i="153"/>
  <c r="S82" i="132"/>
  <c r="N157" i="153"/>
  <c r="N158" i="153" s="1"/>
  <c r="N159" i="153" s="1"/>
  <c r="N249" i="153" s="1"/>
  <c r="S90" i="132"/>
  <c r="S89" i="132"/>
  <c r="S102" i="132"/>
  <c r="S54" i="132"/>
  <c r="S86" i="132"/>
  <c r="S50" i="132"/>
  <c r="S37" i="132"/>
  <c r="S74" i="132"/>
  <c r="S101" i="132"/>
  <c r="S80" i="132"/>
  <c r="S42" i="132"/>
  <c r="S38" i="132"/>
  <c r="S41" i="132"/>
  <c r="S72" i="132"/>
  <c r="S53" i="132"/>
  <c r="S92" i="132"/>
  <c r="S52" i="132"/>
  <c r="S97" i="132"/>
  <c r="S58" i="132"/>
  <c r="S62" i="132"/>
  <c r="S45" i="132"/>
  <c r="S70" i="132"/>
  <c r="S47" i="132"/>
  <c r="S69" i="132"/>
  <c r="S88" i="132"/>
  <c r="S94" i="132"/>
  <c r="S100" i="132"/>
  <c r="S85" i="132"/>
  <c r="S66" i="132"/>
  <c r="S79" i="132"/>
  <c r="S71" i="132"/>
  <c r="Q28" i="119"/>
  <c r="U28" i="119" s="1"/>
  <c r="G84" i="108"/>
  <c r="K84" i="108"/>
  <c r="E81" i="108"/>
  <c r="J85" i="108"/>
  <c r="M84" i="108"/>
  <c r="R63" i="121"/>
  <c r="H85" i="108"/>
  <c r="E85" i="108"/>
  <c r="J84" i="108"/>
  <c r="G85" i="108"/>
  <c r="H84" i="108"/>
  <c r="E84" i="108"/>
  <c r="M85" i="108"/>
  <c r="R62" i="121"/>
  <c r="G109" i="119"/>
  <c r="G110" i="119" s="1"/>
  <c r="O109" i="152"/>
  <c r="Q12" i="93"/>
  <c r="U12" i="93" s="1"/>
  <c r="H109" i="119"/>
  <c r="H110" i="119" s="1"/>
  <c r="O109" i="119"/>
  <c r="O110" i="119" s="1"/>
  <c r="Q28" i="123"/>
  <c r="T28" i="123" s="1"/>
  <c r="K98" i="81"/>
  <c r="O50" i="108"/>
  <c r="O12" i="18" s="1"/>
  <c r="O16" i="18" s="1"/>
  <c r="S49" i="132"/>
  <c r="S93" i="132"/>
  <c r="R37" i="132"/>
  <c r="S77" i="132"/>
  <c r="S95" i="132"/>
  <c r="S57" i="132"/>
  <c r="S63" i="132"/>
  <c r="O157" i="153"/>
  <c r="O158" i="153" s="1"/>
  <c r="O159" i="153" s="1"/>
  <c r="O249" i="153" s="1"/>
  <c r="S39" i="132"/>
  <c r="S60" i="132"/>
  <c r="S87" i="132"/>
  <c r="Q31" i="132"/>
  <c r="S98" i="132"/>
  <c r="S59" i="132"/>
  <c r="S76" i="132"/>
  <c r="S55" i="132"/>
  <c r="Q118" i="132"/>
  <c r="S83" i="132"/>
  <c r="S81" i="132"/>
  <c r="R11" i="131"/>
  <c r="S84" i="132"/>
  <c r="S78" i="132"/>
  <c r="S96" i="132"/>
  <c r="S99" i="132"/>
  <c r="S67" i="132"/>
  <c r="S46" i="132"/>
  <c r="S68" i="132"/>
  <c r="S75" i="132"/>
  <c r="R92" i="132"/>
  <c r="R72" i="132"/>
  <c r="R74" i="132"/>
  <c r="Q122" i="147"/>
  <c r="Q123" i="147" s="1"/>
  <c r="R107" i="127"/>
  <c r="R48" i="132"/>
  <c r="R88" i="127"/>
  <c r="Q40" i="132"/>
  <c r="S40" i="132" s="1"/>
  <c r="U121" i="147"/>
  <c r="U95" i="148"/>
  <c r="U168" i="83"/>
  <c r="V171" i="108"/>
  <c r="Q201" i="108"/>
  <c r="Q159" i="154" s="1"/>
  <c r="U121" i="148"/>
  <c r="Q122" i="148"/>
  <c r="U122" i="148" s="1"/>
  <c r="H183" i="108"/>
  <c r="Q109" i="148"/>
  <c r="U109" i="148" s="1"/>
  <c r="E190" i="108"/>
  <c r="Q190" i="108" s="1"/>
  <c r="V190" i="108" s="1"/>
  <c r="Q106" i="148"/>
  <c r="E187" i="108"/>
  <c r="E12" i="148"/>
  <c r="Q111" i="148"/>
  <c r="U111" i="148" s="1"/>
  <c r="E192" i="108"/>
  <c r="Q107" i="148"/>
  <c r="U107" i="148" s="1"/>
  <c r="E188" i="108"/>
  <c r="Q188" i="108" s="1"/>
  <c r="V188" i="108" s="1"/>
  <c r="Q110" i="148"/>
  <c r="U110" i="148" s="1"/>
  <c r="E191" i="108"/>
  <c r="O115" i="132"/>
  <c r="K115" i="132"/>
  <c r="K67" i="18"/>
  <c r="K66" i="18"/>
  <c r="P115" i="132"/>
  <c r="R21" i="131"/>
  <c r="R17" i="131"/>
  <c r="R113" i="130"/>
  <c r="R111" i="130"/>
  <c r="R109" i="130"/>
  <c r="R102" i="130"/>
  <c r="R92" i="130"/>
  <c r="R112" i="131"/>
  <c r="R104" i="131"/>
  <c r="R101" i="131"/>
  <c r="R87" i="131"/>
  <c r="R80" i="131"/>
  <c r="R72" i="131"/>
  <c r="R68" i="131"/>
  <c r="R52" i="131"/>
  <c r="R48" i="131"/>
  <c r="R36" i="131"/>
  <c r="R20" i="131"/>
  <c r="R16" i="131"/>
  <c r="R59" i="130"/>
  <c r="R55" i="130"/>
  <c r="R40" i="130"/>
  <c r="R113" i="131"/>
  <c r="R103" i="131"/>
  <c r="R99" i="131"/>
  <c r="R94" i="131"/>
  <c r="R90" i="131"/>
  <c r="R78" i="131"/>
  <c r="R74" i="131"/>
  <c r="R70" i="131"/>
  <c r="R66" i="131"/>
  <c r="R62" i="131"/>
  <c r="R58" i="131"/>
  <c r="R54" i="131"/>
  <c r="R50" i="131"/>
  <c r="R46" i="131"/>
  <c r="R42" i="131"/>
  <c r="R38" i="131"/>
  <c r="R34" i="131"/>
  <c r="R30" i="131"/>
  <c r="R26" i="131"/>
  <c r="R22" i="131"/>
  <c r="R18" i="131"/>
  <c r="R14" i="131"/>
  <c r="R114" i="130"/>
  <c r="R106" i="130"/>
  <c r="R103" i="130"/>
  <c r="R99" i="130"/>
  <c r="R80" i="130"/>
  <c r="R76" i="130"/>
  <c r="R72" i="130"/>
  <c r="R68" i="130"/>
  <c r="R65" i="130"/>
  <c r="R61" i="130"/>
  <c r="R57" i="130"/>
  <c r="R53" i="130"/>
  <c r="R49" i="130"/>
  <c r="R46" i="130"/>
  <c r="R38" i="130"/>
  <c r="R35" i="130"/>
  <c r="R32" i="130"/>
  <c r="R28" i="130"/>
  <c r="R24" i="130"/>
  <c r="R20" i="130"/>
  <c r="R17" i="130"/>
  <c r="R113" i="127"/>
  <c r="R111" i="127"/>
  <c r="R109" i="127"/>
  <c r="R102" i="127"/>
  <c r="R91" i="127"/>
  <c r="R86" i="127"/>
  <c r="R79" i="127"/>
  <c r="R75" i="127"/>
  <c r="R71" i="127"/>
  <c r="R67" i="127"/>
  <c r="R63" i="127"/>
  <c r="R59" i="127"/>
  <c r="R51" i="127"/>
  <c r="R47" i="127"/>
  <c r="R43" i="127"/>
  <c r="R39" i="127"/>
  <c r="R35" i="127"/>
  <c r="R31" i="127"/>
  <c r="R27" i="127"/>
  <c r="R23" i="127"/>
  <c r="R20" i="127"/>
  <c r="R16" i="127"/>
  <c r="Q116" i="132"/>
  <c r="R60" i="131"/>
  <c r="R32" i="131"/>
  <c r="R90" i="130"/>
  <c r="R78" i="130"/>
  <c r="R70" i="130"/>
  <c r="R67" i="130"/>
  <c r="R51" i="130"/>
  <c r="R44" i="130"/>
  <c r="R97" i="131"/>
  <c r="R92" i="131"/>
  <c r="R76" i="131"/>
  <c r="R64" i="131"/>
  <c r="R56" i="131"/>
  <c r="R44" i="131"/>
  <c r="R40" i="131"/>
  <c r="R28" i="131"/>
  <c r="R24" i="131"/>
  <c r="R105" i="130"/>
  <c r="R101" i="130"/>
  <c r="R96" i="130"/>
  <c r="R91" i="130"/>
  <c r="R74" i="130"/>
  <c r="R63" i="130"/>
  <c r="R26" i="130"/>
  <c r="R93" i="127"/>
  <c r="R61" i="127"/>
  <c r="R45" i="127"/>
  <c r="R29" i="127"/>
  <c r="R22" i="127"/>
  <c r="R15" i="130"/>
  <c r="R25" i="127"/>
  <c r="R19" i="130"/>
  <c r="R115" i="127"/>
  <c r="R110" i="127"/>
  <c r="R73" i="127"/>
  <c r="R65" i="127"/>
  <c r="R49" i="127"/>
  <c r="R33" i="127"/>
  <c r="R104" i="127"/>
  <c r="R57" i="127"/>
  <c r="R41" i="127"/>
  <c r="R18" i="127"/>
  <c r="R30" i="130"/>
  <c r="R112" i="127"/>
  <c r="R100" i="127"/>
  <c r="R77" i="127"/>
  <c r="R53" i="127"/>
  <c r="R37" i="127"/>
  <c r="Q115" i="132"/>
  <c r="R83" i="132"/>
  <c r="R95" i="132"/>
  <c r="R55" i="132"/>
  <c r="R131" i="132"/>
  <c r="R144" i="132"/>
  <c r="R41" i="132"/>
  <c r="R62" i="127"/>
  <c r="R26" i="127"/>
  <c r="R44" i="127"/>
  <c r="R16" i="130"/>
  <c r="R42" i="130"/>
  <c r="R98" i="131"/>
  <c r="R98" i="132"/>
  <c r="R96" i="127"/>
  <c r="R48" i="130"/>
  <c r="R68" i="132"/>
  <c r="R96" i="132"/>
  <c r="R38" i="127"/>
  <c r="R80" i="127"/>
  <c r="R103" i="127"/>
  <c r="R14" i="130"/>
  <c r="R52" i="130"/>
  <c r="R33" i="131"/>
  <c r="R65" i="131"/>
  <c r="R110" i="131"/>
  <c r="R57" i="132"/>
  <c r="R81" i="132"/>
  <c r="R150" i="132"/>
  <c r="R48" i="127"/>
  <c r="R56" i="130"/>
  <c r="R77" i="131"/>
  <c r="R36" i="127"/>
  <c r="R66" i="127"/>
  <c r="R47" i="130"/>
  <c r="R114" i="131"/>
  <c r="R54" i="130"/>
  <c r="R73" i="130"/>
  <c r="R93" i="130"/>
  <c r="R115" i="130"/>
  <c r="R27" i="131"/>
  <c r="R43" i="131"/>
  <c r="R59" i="131"/>
  <c r="R75" i="131"/>
  <c r="R37" i="130"/>
  <c r="R57" i="131"/>
  <c r="R74" i="127"/>
  <c r="R45" i="130"/>
  <c r="R66" i="130"/>
  <c r="R23" i="131"/>
  <c r="R91" i="131"/>
  <c r="R71" i="132"/>
  <c r="R63" i="132"/>
  <c r="R67" i="132"/>
  <c r="R135" i="132"/>
  <c r="R149" i="132"/>
  <c r="R77" i="132"/>
  <c r="R19" i="127"/>
  <c r="R58" i="127"/>
  <c r="R25" i="130"/>
  <c r="R71" i="130"/>
  <c r="R86" i="130"/>
  <c r="R109" i="131"/>
  <c r="R30" i="127"/>
  <c r="R37" i="131"/>
  <c r="R84" i="132"/>
  <c r="R17" i="127"/>
  <c r="R56" i="127"/>
  <c r="R106" i="127"/>
  <c r="R31" i="130"/>
  <c r="R60" i="130"/>
  <c r="R41" i="131"/>
  <c r="R73" i="131"/>
  <c r="R88" i="131"/>
  <c r="R65" i="132"/>
  <c r="R64" i="130"/>
  <c r="R108" i="131"/>
  <c r="R50" i="127"/>
  <c r="R76" i="127"/>
  <c r="R75" i="130"/>
  <c r="R112" i="130"/>
  <c r="R58" i="130"/>
  <c r="R77" i="130"/>
  <c r="R100" i="130"/>
  <c r="R15" i="131"/>
  <c r="R31" i="131"/>
  <c r="R47" i="131"/>
  <c r="R63" i="131"/>
  <c r="R79" i="131"/>
  <c r="R100" i="131"/>
  <c r="R15" i="127"/>
  <c r="R54" i="127"/>
  <c r="R87" i="130"/>
  <c r="R50" i="130"/>
  <c r="R110" i="130"/>
  <c r="R55" i="131"/>
  <c r="R111" i="131"/>
  <c r="R87" i="132"/>
  <c r="R47" i="132"/>
  <c r="R124" i="132"/>
  <c r="R75" i="132"/>
  <c r="R99" i="132"/>
  <c r="R140" i="132"/>
  <c r="R151" i="132"/>
  <c r="R49" i="132"/>
  <c r="R72" i="127"/>
  <c r="R28" i="127"/>
  <c r="R87" i="127"/>
  <c r="R92" i="127"/>
  <c r="R36" i="130"/>
  <c r="R79" i="130"/>
  <c r="R116" i="130"/>
  <c r="R76" i="132"/>
  <c r="R46" i="127"/>
  <c r="R45" i="131"/>
  <c r="R105" i="131"/>
  <c r="R60" i="132"/>
  <c r="R40" i="127"/>
  <c r="R78" i="127"/>
  <c r="R101" i="127"/>
  <c r="R33" i="130"/>
  <c r="R49" i="131"/>
  <c r="R86" i="132"/>
  <c r="R32" i="127"/>
  <c r="R64" i="127"/>
  <c r="R29" i="131"/>
  <c r="R34" i="127"/>
  <c r="R68" i="127"/>
  <c r="R99" i="127"/>
  <c r="R41" i="130"/>
  <c r="R43" i="130"/>
  <c r="R62" i="130"/>
  <c r="R104" i="130"/>
  <c r="R19" i="131"/>
  <c r="R35" i="131"/>
  <c r="R51" i="131"/>
  <c r="R67" i="131"/>
  <c r="R86" i="131"/>
  <c r="R107" i="131"/>
  <c r="R78" i="132"/>
  <c r="R24" i="127"/>
  <c r="R25" i="131"/>
  <c r="R93" i="132"/>
  <c r="R27" i="130"/>
  <c r="R52" i="127"/>
  <c r="R107" i="130"/>
  <c r="R71" i="131"/>
  <c r="R59" i="132"/>
  <c r="R126" i="132"/>
  <c r="R39" i="132"/>
  <c r="R79" i="132"/>
  <c r="R142" i="132"/>
  <c r="R153" i="132"/>
  <c r="R139" i="132"/>
  <c r="R97" i="130"/>
  <c r="R93" i="131"/>
  <c r="R141" i="132"/>
  <c r="R152" i="132"/>
  <c r="R21" i="127"/>
  <c r="R60" i="127"/>
  <c r="R105" i="127"/>
  <c r="R23" i="130"/>
  <c r="R70" i="127"/>
  <c r="R114" i="127"/>
  <c r="R53" i="131"/>
  <c r="R46" i="132"/>
  <c r="R70" i="132"/>
  <c r="R61" i="131"/>
  <c r="R102" i="131"/>
  <c r="R39" i="131"/>
  <c r="R50" i="132"/>
  <c r="R88" i="132"/>
  <c r="R53" i="132"/>
  <c r="R125" i="132"/>
  <c r="T42" i="127"/>
  <c r="R78" i="121"/>
  <c r="T78" i="121"/>
  <c r="Q163" i="126"/>
  <c r="R163" i="126" s="1"/>
  <c r="R134" i="126"/>
  <c r="U72" i="81"/>
  <c r="L109" i="119"/>
  <c r="L110" i="119" s="1"/>
  <c r="T153" i="123"/>
  <c r="R153" i="123"/>
  <c r="R94" i="132"/>
  <c r="R116" i="127"/>
  <c r="H157" i="153"/>
  <c r="H158" i="153" s="1"/>
  <c r="H159" i="153" s="1"/>
  <c r="H249" i="153" s="1"/>
  <c r="R101" i="132"/>
  <c r="R148" i="132"/>
  <c r="Q129" i="132"/>
  <c r="U143" i="119"/>
  <c r="R143" i="119"/>
  <c r="R95" i="131"/>
  <c r="F109" i="119"/>
  <c r="F110" i="119" s="1"/>
  <c r="T34" i="123"/>
  <c r="Q28" i="124"/>
  <c r="T29" i="121"/>
  <c r="H69" i="108"/>
  <c r="U12" i="147"/>
  <c r="V12" i="90"/>
  <c r="U181" i="154"/>
  <c r="I67" i="18"/>
  <c r="I66" i="18"/>
  <c r="R146" i="132"/>
  <c r="U171" i="154"/>
  <c r="R58" i="132"/>
  <c r="L67" i="18"/>
  <c r="L66" i="18"/>
  <c r="M115" i="132"/>
  <c r="R85" i="132"/>
  <c r="R134" i="132"/>
  <c r="Q45" i="108"/>
  <c r="V45" i="108" s="1"/>
  <c r="V30" i="108"/>
  <c r="R123" i="132"/>
  <c r="U102" i="148"/>
  <c r="E57" i="108"/>
  <c r="R77" i="121"/>
  <c r="E99" i="108"/>
  <c r="Q99" i="108" s="1"/>
  <c r="E69" i="108"/>
  <c r="T27" i="135"/>
  <c r="T97" i="136"/>
  <c r="T95" i="136"/>
  <c r="P69" i="108"/>
  <c r="K65" i="108"/>
  <c r="R45" i="132"/>
  <c r="R88" i="130"/>
  <c r="R69" i="132"/>
  <c r="G165" i="108"/>
  <c r="Q36" i="125"/>
  <c r="T135" i="135"/>
  <c r="E109" i="152"/>
  <c r="E61" i="81"/>
  <c r="Q36" i="124"/>
  <c r="P67" i="18"/>
  <c r="P66" i="18"/>
  <c r="S64" i="132"/>
  <c r="R64" i="132"/>
  <c r="T32" i="121"/>
  <c r="Q35" i="121"/>
  <c r="R32" i="121"/>
  <c r="T31" i="126"/>
  <c r="R31" i="126"/>
  <c r="Q34" i="126"/>
  <c r="T121" i="149"/>
  <c r="F109" i="152"/>
  <c r="F61" i="81"/>
  <c r="T123" i="152"/>
  <c r="R123" i="152"/>
  <c r="V194" i="90"/>
  <c r="U190" i="154"/>
  <c r="K165" i="108"/>
  <c r="F67" i="18"/>
  <c r="F68" i="18" s="1"/>
  <c r="R54" i="132"/>
  <c r="N165" i="108"/>
  <c r="R143" i="124"/>
  <c r="T143" i="124"/>
  <c r="R134" i="125"/>
  <c r="Q163" i="125"/>
  <c r="T134" i="125"/>
  <c r="Q49" i="134"/>
  <c r="Q13" i="18"/>
  <c r="U77" i="81"/>
  <c r="T142" i="152"/>
  <c r="R142" i="152"/>
  <c r="R138" i="132"/>
  <c r="G157" i="153"/>
  <c r="G158" i="153" s="1"/>
  <c r="G159" i="153" s="1"/>
  <c r="G249" i="153" s="1"/>
  <c r="N67" i="18"/>
  <c r="N68" i="18" s="1"/>
  <c r="M67" i="18"/>
  <c r="M66" i="18"/>
  <c r="R62" i="132"/>
  <c r="R102" i="132"/>
  <c r="T11" i="130"/>
  <c r="R11" i="130"/>
  <c r="T18" i="130"/>
  <c r="R18" i="130"/>
  <c r="R134" i="119"/>
  <c r="Q163" i="119"/>
  <c r="U134" i="119"/>
  <c r="K109" i="119"/>
  <c r="K110" i="119" s="1"/>
  <c r="H65" i="108"/>
  <c r="G65" i="108"/>
  <c r="E70" i="108"/>
  <c r="R55" i="121"/>
  <c r="E77" i="108"/>
  <c r="U68" i="81"/>
  <c r="R66" i="132"/>
  <c r="T22" i="146"/>
  <c r="R22" i="146"/>
  <c r="Q97" i="146"/>
  <c r="Q35" i="152"/>
  <c r="Q11" i="127"/>
  <c r="E56" i="81"/>
  <c r="Q56" i="81" s="1"/>
  <c r="R56" i="81" s="1"/>
  <c r="O67" i="18"/>
  <c r="O66" i="18"/>
  <c r="Q65" i="18"/>
  <c r="Q66" i="18" s="1"/>
  <c r="E66" i="18"/>
  <c r="Q153" i="108"/>
  <c r="V153" i="108" s="1"/>
  <c r="V136" i="108"/>
  <c r="V137" i="108"/>
  <c r="Q154" i="108"/>
  <c r="V154" i="108" s="1"/>
  <c r="J165" i="108"/>
  <c r="T31" i="124"/>
  <c r="R31" i="124"/>
  <c r="Q34" i="124"/>
  <c r="K69" i="108"/>
  <c r="T153" i="124"/>
  <c r="R153" i="124"/>
  <c r="O65" i="108"/>
  <c r="Q88" i="81"/>
  <c r="U80" i="81"/>
  <c r="Q194" i="93"/>
  <c r="U165" i="93"/>
  <c r="R52" i="132"/>
  <c r="R73" i="132"/>
  <c r="T22" i="130"/>
  <c r="R22" i="130"/>
  <c r="R97" i="132"/>
  <c r="U54" i="119"/>
  <c r="R54" i="119"/>
  <c r="Q108" i="119"/>
  <c r="U71" i="81"/>
  <c r="U19" i="81"/>
  <c r="Q27" i="81"/>
  <c r="U184" i="93"/>
  <c r="U174" i="93"/>
  <c r="R115" i="131"/>
  <c r="R90" i="132"/>
  <c r="G69" i="108"/>
  <c r="R42" i="132"/>
  <c r="R100" i="132"/>
  <c r="L115" i="132"/>
  <c r="T97" i="127"/>
  <c r="R97" i="127"/>
  <c r="J109" i="119"/>
  <c r="J110" i="119" s="1"/>
  <c r="E87" i="108"/>
  <c r="E89" i="108"/>
  <c r="Q89" i="108" s="1"/>
  <c r="T153" i="125"/>
  <c r="R153" i="125"/>
  <c r="N109" i="152"/>
  <c r="N61" i="81"/>
  <c r="Q101" i="138"/>
  <c r="U175" i="142"/>
  <c r="T12" i="143"/>
  <c r="U193" i="93"/>
  <c r="N109" i="119"/>
  <c r="N110" i="119" s="1"/>
  <c r="J65" i="108"/>
  <c r="L65" i="108"/>
  <c r="I69" i="108"/>
  <c r="R143" i="132"/>
  <c r="M157" i="153"/>
  <c r="M158" i="153" s="1"/>
  <c r="M159" i="153" s="1"/>
  <c r="M249" i="153" s="1"/>
  <c r="Q151" i="108"/>
  <c r="V151" i="108" s="1"/>
  <c r="V134" i="108"/>
  <c r="Q148" i="108"/>
  <c r="T137" i="134"/>
  <c r="R137" i="134"/>
  <c r="Q117" i="132"/>
  <c r="T23" i="136"/>
  <c r="U31" i="119"/>
  <c r="Q34" i="119"/>
  <c r="R31" i="119"/>
  <c r="Q34" i="125"/>
  <c r="R31" i="125"/>
  <c r="T31" i="125"/>
  <c r="P65" i="108"/>
  <c r="T153" i="126"/>
  <c r="R153" i="126"/>
  <c r="M69" i="108"/>
  <c r="U101" i="147"/>
  <c r="Q69" i="81"/>
  <c r="U67" i="81"/>
  <c r="Q143" i="152"/>
  <c r="R114" i="152"/>
  <c r="T114" i="152"/>
  <c r="T147" i="134"/>
  <c r="R147" i="134"/>
  <c r="E117" i="132"/>
  <c r="E11" i="18"/>
  <c r="R80" i="132"/>
  <c r="R155" i="132"/>
  <c r="I109" i="119"/>
  <c r="I110" i="119" s="1"/>
  <c r="U32" i="119"/>
  <c r="R32" i="119"/>
  <c r="R154" i="132"/>
  <c r="T134" i="124"/>
  <c r="R134" i="124"/>
  <c r="Q163" i="124"/>
  <c r="J109" i="152"/>
  <c r="J61" i="81"/>
  <c r="Q191" i="154"/>
  <c r="I115" i="132"/>
  <c r="O165" i="108"/>
  <c r="N69" i="108"/>
  <c r="Q58" i="81"/>
  <c r="R89" i="132"/>
  <c r="R130" i="132"/>
  <c r="S44" i="132"/>
  <c r="R44" i="132"/>
  <c r="R38" i="132"/>
  <c r="R143" i="123"/>
  <c r="T143" i="123"/>
  <c r="R127" i="132"/>
  <c r="R90" i="127"/>
  <c r="Q163" i="123"/>
  <c r="T134" i="123"/>
  <c r="R134" i="123"/>
  <c r="H165" i="108"/>
  <c r="N65" i="108"/>
  <c r="T27" i="126"/>
  <c r="Q28" i="126"/>
  <c r="L69" i="108"/>
  <c r="J69" i="108"/>
  <c r="T12" i="149"/>
  <c r="R128" i="134"/>
  <c r="Q157" i="134"/>
  <c r="T128" i="134"/>
  <c r="T133" i="152"/>
  <c r="R133" i="152"/>
  <c r="T175" i="139"/>
  <c r="T195" i="143"/>
  <c r="V199" i="108"/>
  <c r="O69" i="108"/>
  <c r="U12" i="142"/>
  <c r="V175" i="90"/>
  <c r="R82" i="132"/>
  <c r="R117" i="130"/>
  <c r="T117" i="130"/>
  <c r="T175" i="140"/>
  <c r="Q60" i="81"/>
  <c r="R60" i="81" s="1"/>
  <c r="U194" i="83" l="1"/>
  <c r="Y162" i="154"/>
  <c r="AA162" i="154" s="1"/>
  <c r="Y160" i="154"/>
  <c r="F121" i="134"/>
  <c r="N260" i="153"/>
  <c r="N256" i="153"/>
  <c r="N263" i="153"/>
  <c r="N258" i="153"/>
  <c r="N252" i="153"/>
  <c r="N81" i="131" s="1"/>
  <c r="N82" i="131" s="1"/>
  <c r="N254" i="153"/>
  <c r="N83" i="149" s="1"/>
  <c r="N84" i="149" s="1"/>
  <c r="N271" i="153"/>
  <c r="N250" i="153"/>
  <c r="N269" i="153"/>
  <c r="N255" i="153"/>
  <c r="N270" i="153"/>
  <c r="N267" i="153"/>
  <c r="N265" i="153"/>
  <c r="N268" i="153"/>
  <c r="N262" i="153"/>
  <c r="N251" i="153"/>
  <c r="N261" i="153"/>
  <c r="N120" i="134" s="1"/>
  <c r="N257" i="153"/>
  <c r="N259" i="153"/>
  <c r="N253" i="153"/>
  <c r="N81" i="144" s="1"/>
  <c r="N82" i="144" s="1"/>
  <c r="N266" i="153"/>
  <c r="N264" i="153"/>
  <c r="K255" i="153"/>
  <c r="K267" i="153"/>
  <c r="K253" i="153"/>
  <c r="K81" i="144" s="1"/>
  <c r="K82" i="144" s="1"/>
  <c r="K258" i="153"/>
  <c r="K256" i="153"/>
  <c r="K263" i="153"/>
  <c r="K251" i="153"/>
  <c r="K257" i="153"/>
  <c r="K270" i="153"/>
  <c r="K268" i="153"/>
  <c r="K266" i="153"/>
  <c r="K259" i="153"/>
  <c r="K269" i="153"/>
  <c r="K250" i="153"/>
  <c r="K260" i="153"/>
  <c r="K265" i="153"/>
  <c r="K271" i="153"/>
  <c r="K254" i="153"/>
  <c r="K83" i="149" s="1"/>
  <c r="K84" i="149" s="1"/>
  <c r="K86" i="149" s="1"/>
  <c r="K252" i="153"/>
  <c r="K81" i="131" s="1"/>
  <c r="K82" i="131" s="1"/>
  <c r="K264" i="153"/>
  <c r="K262" i="153"/>
  <c r="K261" i="153"/>
  <c r="K120" i="134" s="1"/>
  <c r="L267" i="153"/>
  <c r="L262" i="153"/>
  <c r="L254" i="153"/>
  <c r="L83" i="149" s="1"/>
  <c r="L84" i="149" s="1"/>
  <c r="L86" i="149" s="1"/>
  <c r="L265" i="153"/>
  <c r="L260" i="153"/>
  <c r="L250" i="153"/>
  <c r="L261" i="153"/>
  <c r="L120" i="134" s="1"/>
  <c r="L255" i="153"/>
  <c r="L266" i="153"/>
  <c r="L264" i="153"/>
  <c r="L258" i="153"/>
  <c r="L268" i="153"/>
  <c r="L253" i="153"/>
  <c r="L81" i="144" s="1"/>
  <c r="L82" i="144" s="1"/>
  <c r="L256" i="153"/>
  <c r="L271" i="153"/>
  <c r="L263" i="153"/>
  <c r="L252" i="153"/>
  <c r="L81" i="131" s="1"/>
  <c r="L82" i="131" s="1"/>
  <c r="L251" i="153"/>
  <c r="L270" i="153"/>
  <c r="L257" i="153"/>
  <c r="L269" i="153"/>
  <c r="L259" i="153"/>
  <c r="G253" i="153"/>
  <c r="G81" i="144" s="1"/>
  <c r="G82" i="144" s="1"/>
  <c r="G251" i="153"/>
  <c r="G257" i="153"/>
  <c r="G268" i="153"/>
  <c r="G263" i="153"/>
  <c r="G261" i="153"/>
  <c r="G120" i="134" s="1"/>
  <c r="G265" i="153"/>
  <c r="G255" i="153"/>
  <c r="G260" i="153"/>
  <c r="G266" i="153"/>
  <c r="G254" i="153"/>
  <c r="G83" i="149" s="1"/>
  <c r="G84" i="149" s="1"/>
  <c r="G86" i="149" s="1"/>
  <c r="G271" i="153"/>
  <c r="G256" i="153"/>
  <c r="G259" i="153"/>
  <c r="G270" i="153"/>
  <c r="G267" i="153"/>
  <c r="G250" i="153"/>
  <c r="G269" i="153"/>
  <c r="G258" i="153"/>
  <c r="G264" i="153"/>
  <c r="G262" i="153"/>
  <c r="G252" i="153"/>
  <c r="G81" i="131" s="1"/>
  <c r="G82" i="131" s="1"/>
  <c r="M254" i="153"/>
  <c r="M83" i="149" s="1"/>
  <c r="M84" i="149" s="1"/>
  <c r="M253" i="153"/>
  <c r="M81" i="144" s="1"/>
  <c r="M82" i="144" s="1"/>
  <c r="M263" i="153"/>
  <c r="M256" i="153"/>
  <c r="M252" i="153"/>
  <c r="M81" i="131" s="1"/>
  <c r="M82" i="131" s="1"/>
  <c r="M262" i="153"/>
  <c r="M255" i="153"/>
  <c r="M268" i="153"/>
  <c r="M261" i="153"/>
  <c r="M120" i="134" s="1"/>
  <c r="M270" i="153"/>
  <c r="M265" i="153"/>
  <c r="M257" i="153"/>
  <c r="M269" i="153"/>
  <c r="M271" i="153"/>
  <c r="M260" i="153"/>
  <c r="M267" i="153"/>
  <c r="M264" i="153"/>
  <c r="M251" i="153"/>
  <c r="M266" i="153"/>
  <c r="M258" i="153"/>
  <c r="M259" i="153"/>
  <c r="M250" i="153"/>
  <c r="M91" i="132" s="1"/>
  <c r="J255" i="153"/>
  <c r="J254" i="153"/>
  <c r="J83" i="149" s="1"/>
  <c r="J84" i="149" s="1"/>
  <c r="J86" i="149" s="1"/>
  <c r="J267" i="153"/>
  <c r="J253" i="153"/>
  <c r="J81" i="144" s="1"/>
  <c r="J82" i="144" s="1"/>
  <c r="J250" i="153"/>
  <c r="J262" i="153"/>
  <c r="J257" i="153"/>
  <c r="J269" i="153"/>
  <c r="J258" i="153"/>
  <c r="J266" i="153"/>
  <c r="J261" i="153"/>
  <c r="J120" i="134" s="1"/>
  <c r="J270" i="153"/>
  <c r="J265" i="153"/>
  <c r="J259" i="153"/>
  <c r="J260" i="153"/>
  <c r="J268" i="153"/>
  <c r="J271" i="153"/>
  <c r="J256" i="153"/>
  <c r="J264" i="153"/>
  <c r="J251" i="153"/>
  <c r="J263" i="153"/>
  <c r="J252" i="153"/>
  <c r="J81" i="131" s="1"/>
  <c r="J82" i="131" s="1"/>
  <c r="I267" i="153"/>
  <c r="I255" i="153"/>
  <c r="I258" i="153"/>
  <c r="I271" i="153"/>
  <c r="I251" i="153"/>
  <c r="I269" i="153"/>
  <c r="I270" i="153"/>
  <c r="I256" i="153"/>
  <c r="I252" i="153"/>
  <c r="I81" i="131" s="1"/>
  <c r="I82" i="131" s="1"/>
  <c r="I266" i="153"/>
  <c r="I254" i="153"/>
  <c r="I83" i="149" s="1"/>
  <c r="I84" i="149" s="1"/>
  <c r="I86" i="149" s="1"/>
  <c r="I265" i="153"/>
  <c r="I268" i="153"/>
  <c r="I259" i="153"/>
  <c r="I260" i="153"/>
  <c r="I250" i="153"/>
  <c r="I257" i="153"/>
  <c r="I264" i="153"/>
  <c r="I263" i="153"/>
  <c r="I261" i="153"/>
  <c r="I120" i="134" s="1"/>
  <c r="I253" i="153"/>
  <c r="I81" i="144" s="1"/>
  <c r="I82" i="144" s="1"/>
  <c r="I262" i="153"/>
  <c r="H256" i="153"/>
  <c r="H267" i="153"/>
  <c r="H255" i="153"/>
  <c r="H265" i="153"/>
  <c r="H259" i="153"/>
  <c r="H269" i="153"/>
  <c r="H254" i="153"/>
  <c r="H83" i="149" s="1"/>
  <c r="H84" i="149" s="1"/>
  <c r="H86" i="149" s="1"/>
  <c r="H260" i="153"/>
  <c r="H252" i="153"/>
  <c r="H81" i="131" s="1"/>
  <c r="H82" i="131" s="1"/>
  <c r="H264" i="153"/>
  <c r="H261" i="153"/>
  <c r="H120" i="134" s="1"/>
  <c r="H263" i="153"/>
  <c r="H270" i="153"/>
  <c r="H251" i="153"/>
  <c r="H271" i="153"/>
  <c r="H266" i="153"/>
  <c r="H250" i="153"/>
  <c r="H257" i="153"/>
  <c r="H253" i="153"/>
  <c r="H81" i="144" s="1"/>
  <c r="H82" i="144" s="1"/>
  <c r="H262" i="153"/>
  <c r="H258" i="153"/>
  <c r="H268" i="153"/>
  <c r="O260" i="153"/>
  <c r="O262" i="153"/>
  <c r="O271" i="153"/>
  <c r="O254" i="153"/>
  <c r="O83" i="149" s="1"/>
  <c r="O84" i="149" s="1"/>
  <c r="O265" i="153"/>
  <c r="O250" i="153"/>
  <c r="O264" i="153"/>
  <c r="O255" i="153"/>
  <c r="O252" i="153"/>
  <c r="O81" i="131" s="1"/>
  <c r="O82" i="131" s="1"/>
  <c r="O269" i="153"/>
  <c r="O257" i="153"/>
  <c r="O259" i="153"/>
  <c r="O270" i="153"/>
  <c r="O267" i="153"/>
  <c r="O266" i="153"/>
  <c r="O258" i="153"/>
  <c r="O251" i="153"/>
  <c r="O263" i="153"/>
  <c r="O261" i="153"/>
  <c r="O120" i="134" s="1"/>
  <c r="O253" i="153"/>
  <c r="O81" i="144" s="1"/>
  <c r="O82" i="144" s="1"/>
  <c r="O268" i="153"/>
  <c r="O256" i="153"/>
  <c r="O27" i="91"/>
  <c r="O28" i="91" s="1"/>
  <c r="O87" i="140"/>
  <c r="O87" i="83" s="1"/>
  <c r="I87" i="140"/>
  <c r="I27" i="91"/>
  <c r="I28" i="91" s="1"/>
  <c r="K87" i="140"/>
  <c r="K87" i="83" s="1"/>
  <c r="K27" i="91"/>
  <c r="K28" i="91" s="1"/>
  <c r="G27" i="91"/>
  <c r="G28" i="91" s="1"/>
  <c r="G87" i="140"/>
  <c r="G87" i="83" s="1"/>
  <c r="M27" i="91"/>
  <c r="M28" i="91" s="1"/>
  <c r="M87" i="140"/>
  <c r="M87" i="83" s="1"/>
  <c r="J87" i="140"/>
  <c r="J87" i="83" s="1"/>
  <c r="J27" i="91"/>
  <c r="J28" i="91" s="1"/>
  <c r="P158" i="153"/>
  <c r="P159" i="153" s="1"/>
  <c r="P249" i="153" s="1"/>
  <c r="Q199" i="154"/>
  <c r="Q201" i="90"/>
  <c r="Q200" i="93"/>
  <c r="K150" i="93"/>
  <c r="I87" i="83"/>
  <c r="I150" i="93"/>
  <c r="G150" i="93"/>
  <c r="O150" i="93"/>
  <c r="M150" i="93"/>
  <c r="J150" i="93"/>
  <c r="Q201" i="83"/>
  <c r="G196" i="153"/>
  <c r="J196" i="153"/>
  <c r="Q104" i="81"/>
  <c r="K196" i="153"/>
  <c r="O196" i="153"/>
  <c r="I196" i="153"/>
  <c r="M196" i="153"/>
  <c r="E129" i="147"/>
  <c r="E138" i="147" s="1"/>
  <c r="Q131" i="147"/>
  <c r="Q78" i="81"/>
  <c r="U78" i="81" s="1"/>
  <c r="Q94" i="151"/>
  <c r="T94" i="151" s="1"/>
  <c r="R92" i="151"/>
  <c r="J14" i="155"/>
  <c r="J39" i="18" s="1"/>
  <c r="J20" i="155"/>
  <c r="J60" i="18" s="1"/>
  <c r="O14" i="155"/>
  <c r="O39" i="18" s="1"/>
  <c r="O20" i="155"/>
  <c r="O60" i="18" s="1"/>
  <c r="G14" i="155"/>
  <c r="G39" i="18" s="1"/>
  <c r="G20" i="155"/>
  <c r="G60" i="18" s="1"/>
  <c r="I20" i="155"/>
  <c r="I60" i="18" s="1"/>
  <c r="I14" i="155"/>
  <c r="I39" i="18" s="1"/>
  <c r="M14" i="155"/>
  <c r="M39" i="18" s="1"/>
  <c r="M20" i="155"/>
  <c r="M60" i="18" s="1"/>
  <c r="K20" i="155"/>
  <c r="K60" i="18" s="1"/>
  <c r="K14" i="155"/>
  <c r="K39" i="18" s="1"/>
  <c r="R34" i="123"/>
  <c r="T194" i="140"/>
  <c r="R114" i="150"/>
  <c r="T114" i="150"/>
  <c r="R36" i="123"/>
  <c r="T43" i="121"/>
  <c r="R43" i="121"/>
  <c r="T61" i="121"/>
  <c r="R61" i="121"/>
  <c r="U195" i="142"/>
  <c r="Q196" i="142"/>
  <c r="I158" i="141"/>
  <c r="I159" i="141" s="1"/>
  <c r="I160" i="141" s="1"/>
  <c r="O158" i="141"/>
  <c r="O159" i="141" s="1"/>
  <c r="O160" i="141" s="1"/>
  <c r="L158" i="139"/>
  <c r="L159" i="139" s="1"/>
  <c r="L160" i="139" s="1"/>
  <c r="K98" i="135"/>
  <c r="K37" i="81" s="1"/>
  <c r="K158" i="141"/>
  <c r="K159" i="141" s="1"/>
  <c r="K160" i="141" s="1"/>
  <c r="I98" i="135"/>
  <c r="I37" i="81" s="1"/>
  <c r="F91" i="132"/>
  <c r="I91" i="132"/>
  <c r="G91" i="132"/>
  <c r="N91" i="132"/>
  <c r="Q12" i="148"/>
  <c r="U12" i="148" s="1"/>
  <c r="T117" i="127"/>
  <c r="Q195" i="83"/>
  <c r="U195" i="83" s="1"/>
  <c r="R72" i="81"/>
  <c r="R74" i="81"/>
  <c r="R75" i="81"/>
  <c r="S179" i="108"/>
  <c r="S180" i="108"/>
  <c r="S97" i="148"/>
  <c r="S98" i="148"/>
  <c r="S15" i="148"/>
  <c r="S19" i="148"/>
  <c r="S23" i="148"/>
  <c r="S27" i="148"/>
  <c r="S31" i="148"/>
  <c r="S35" i="148"/>
  <c r="S39" i="148"/>
  <c r="S24" i="148"/>
  <c r="S32" i="148"/>
  <c r="S36" i="148"/>
  <c r="S37" i="148"/>
  <c r="S18" i="148"/>
  <c r="S30" i="148"/>
  <c r="S38" i="148"/>
  <c r="S16" i="148"/>
  <c r="S20" i="148"/>
  <c r="S28" i="148"/>
  <c r="S40" i="148"/>
  <c r="S22" i="148"/>
  <c r="S34" i="148"/>
  <c r="S17" i="148"/>
  <c r="S21" i="148"/>
  <c r="S25" i="148"/>
  <c r="S29" i="148"/>
  <c r="S33" i="148"/>
  <c r="S26" i="148"/>
  <c r="I52" i="18"/>
  <c r="J52" i="18"/>
  <c r="M52" i="18"/>
  <c r="G52" i="18"/>
  <c r="K52" i="18"/>
  <c r="O52" i="18"/>
  <c r="I199" i="83"/>
  <c r="I196" i="83"/>
  <c r="I12" i="83" s="1"/>
  <c r="R67" i="81"/>
  <c r="R117" i="127"/>
  <c r="F81" i="130"/>
  <c r="F82" i="130" s="1"/>
  <c r="F83" i="148"/>
  <c r="F84" i="148" s="1"/>
  <c r="F86" i="148" s="1"/>
  <c r="T64" i="121"/>
  <c r="R64" i="121"/>
  <c r="F158" i="142"/>
  <c r="F159" i="142" s="1"/>
  <c r="F160" i="142" s="1"/>
  <c r="R36" i="119"/>
  <c r="Q90" i="83"/>
  <c r="U90" i="83" s="1"/>
  <c r="K81" i="130"/>
  <c r="K82" i="130" s="1"/>
  <c r="T90" i="141"/>
  <c r="F158" i="139"/>
  <c r="F159" i="139" s="1"/>
  <c r="F160" i="139" s="1"/>
  <c r="F158" i="141"/>
  <c r="F159" i="141" s="1"/>
  <c r="F160" i="141" s="1"/>
  <c r="F98" i="135"/>
  <c r="F99" i="135" s="1"/>
  <c r="F55" i="81" s="1"/>
  <c r="O158" i="139"/>
  <c r="O159" i="139" s="1"/>
  <c r="O160" i="139" s="1"/>
  <c r="O98" i="135"/>
  <c r="O99" i="135" s="1"/>
  <c r="O55" i="81" s="1"/>
  <c r="O83" i="148"/>
  <c r="O84" i="148" s="1"/>
  <c r="O86" i="148" s="1"/>
  <c r="I83" i="148"/>
  <c r="I84" i="148" s="1"/>
  <c r="I86" i="148" s="1"/>
  <c r="I158" i="139"/>
  <c r="I159" i="139" s="1"/>
  <c r="I160" i="139" s="1"/>
  <c r="S54" i="108"/>
  <c r="S199" i="108"/>
  <c r="V183" i="108"/>
  <c r="P68" i="18"/>
  <c r="L68" i="18"/>
  <c r="R40" i="132"/>
  <c r="S183" i="108"/>
  <c r="E157" i="154"/>
  <c r="E158" i="154" s="1"/>
  <c r="Q158" i="154" s="1"/>
  <c r="Q64" i="154"/>
  <c r="Q157" i="154" s="1"/>
  <c r="V201" i="108"/>
  <c r="Q202" i="108"/>
  <c r="U106" i="148"/>
  <c r="Q112" i="148"/>
  <c r="S112" i="148" s="1"/>
  <c r="Q187" i="108"/>
  <c r="S187" i="108" s="1"/>
  <c r="E193" i="108"/>
  <c r="N98" i="135"/>
  <c r="N99" i="135" s="1"/>
  <c r="N55" i="81" s="1"/>
  <c r="L83" i="148"/>
  <c r="L84" i="148" s="1"/>
  <c r="L86" i="148" s="1"/>
  <c r="L158" i="141"/>
  <c r="L159" i="141" s="1"/>
  <c r="L160" i="141" s="1"/>
  <c r="N81" i="127"/>
  <c r="N82" i="127" s="1"/>
  <c r="I81" i="127"/>
  <c r="I82" i="127" s="1"/>
  <c r="T157" i="134"/>
  <c r="R157" i="134"/>
  <c r="T28" i="126"/>
  <c r="T163" i="123"/>
  <c r="R163" i="123"/>
  <c r="U191" i="154"/>
  <c r="Q43" i="132"/>
  <c r="U60" i="81"/>
  <c r="T163" i="124"/>
  <c r="R163" i="124"/>
  <c r="Q51" i="132"/>
  <c r="Q11" i="18"/>
  <c r="Q67" i="18" s="1"/>
  <c r="E16" i="18"/>
  <c r="Q14" i="127"/>
  <c r="E36" i="132"/>
  <c r="T34" i="125"/>
  <c r="R34" i="125"/>
  <c r="T65" i="121"/>
  <c r="R65" i="121"/>
  <c r="L98" i="135"/>
  <c r="K83" i="148"/>
  <c r="K84" i="148" s="1"/>
  <c r="N158" i="141"/>
  <c r="N159" i="141" s="1"/>
  <c r="N160" i="141" s="1"/>
  <c r="T34" i="124"/>
  <c r="R34" i="124"/>
  <c r="L16" i="18"/>
  <c r="O68" i="18"/>
  <c r="T11" i="127"/>
  <c r="R11" i="127"/>
  <c r="Q98" i="146"/>
  <c r="T98" i="146" s="1"/>
  <c r="T97" i="146"/>
  <c r="M68" i="18"/>
  <c r="R47" i="121"/>
  <c r="T47" i="121"/>
  <c r="S102" i="148"/>
  <c r="R33" i="132"/>
  <c r="I68" i="18"/>
  <c r="T28" i="124"/>
  <c r="R97" i="81"/>
  <c r="U58" i="81"/>
  <c r="Q56" i="132"/>
  <c r="Q34" i="130"/>
  <c r="U69" i="81"/>
  <c r="R69" i="81"/>
  <c r="R104" i="149"/>
  <c r="R99" i="149"/>
  <c r="R95" i="149"/>
  <c r="R96" i="149"/>
  <c r="R91" i="149"/>
  <c r="R118" i="149"/>
  <c r="R103" i="149"/>
  <c r="R94" i="149"/>
  <c r="R98" i="149"/>
  <c r="R117" i="149"/>
  <c r="R107" i="149"/>
  <c r="R81" i="149"/>
  <c r="R74" i="149"/>
  <c r="R59" i="149"/>
  <c r="R32" i="149"/>
  <c r="R66" i="149"/>
  <c r="R47" i="149"/>
  <c r="R36" i="149"/>
  <c r="R70" i="149"/>
  <c r="R51" i="149"/>
  <c r="R40" i="149"/>
  <c r="R55" i="149"/>
  <c r="S119" i="148"/>
  <c r="S72" i="148"/>
  <c r="S53" i="148"/>
  <c r="S45" i="148"/>
  <c r="R77" i="149"/>
  <c r="S68" i="148"/>
  <c r="S41" i="148"/>
  <c r="R44" i="149"/>
  <c r="S76" i="148"/>
  <c r="S57" i="148"/>
  <c r="S49" i="148"/>
  <c r="V148" i="108"/>
  <c r="R28" i="149"/>
  <c r="S101" i="148"/>
  <c r="S80" i="148"/>
  <c r="S64" i="148"/>
  <c r="S61" i="148"/>
  <c r="S115" i="108"/>
  <c r="S68" i="108"/>
  <c r="S76" i="108"/>
  <c r="S96" i="108"/>
  <c r="S103" i="108"/>
  <c r="S119" i="108"/>
  <c r="S104" i="108"/>
  <c r="S62" i="108"/>
  <c r="S114" i="108"/>
  <c r="S188" i="108"/>
  <c r="S66" i="108"/>
  <c r="S98" i="108"/>
  <c r="S46" i="148"/>
  <c r="S73" i="148"/>
  <c r="S107" i="148"/>
  <c r="R48" i="149"/>
  <c r="S65" i="148"/>
  <c r="S104" i="148"/>
  <c r="S110" i="148"/>
  <c r="S48" i="148"/>
  <c r="S69" i="148"/>
  <c r="R58" i="149"/>
  <c r="R73" i="149"/>
  <c r="R82" i="149"/>
  <c r="S55" i="148"/>
  <c r="S74" i="148"/>
  <c r="R43" i="149"/>
  <c r="R56" i="149"/>
  <c r="R50" i="149"/>
  <c r="R34" i="149"/>
  <c r="R53" i="149"/>
  <c r="R68" i="149"/>
  <c r="R108" i="149"/>
  <c r="R116" i="149"/>
  <c r="S94" i="108"/>
  <c r="R23" i="149"/>
  <c r="S52" i="148"/>
  <c r="S120" i="148"/>
  <c r="S50" i="148"/>
  <c r="S100" i="148"/>
  <c r="S77" i="148"/>
  <c r="S51" i="148"/>
  <c r="R54" i="149"/>
  <c r="S126" i="108"/>
  <c r="S178" i="108"/>
  <c r="S75" i="108"/>
  <c r="S91" i="108"/>
  <c r="S106" i="108"/>
  <c r="S67" i="108"/>
  <c r="S127" i="108"/>
  <c r="S113" i="108"/>
  <c r="S125" i="108"/>
  <c r="S54" i="148"/>
  <c r="S109" i="148"/>
  <c r="S44" i="148"/>
  <c r="R46" i="149"/>
  <c r="S60" i="148"/>
  <c r="S79" i="148"/>
  <c r="R37" i="149"/>
  <c r="R35" i="149"/>
  <c r="R31" i="149"/>
  <c r="R60" i="149"/>
  <c r="R75" i="149"/>
  <c r="R90" i="149"/>
  <c r="S59" i="148"/>
  <c r="S78" i="148"/>
  <c r="S99" i="148"/>
  <c r="R27" i="149"/>
  <c r="R45" i="149"/>
  <c r="R39" i="149"/>
  <c r="R52" i="149"/>
  <c r="R102" i="149"/>
  <c r="R21" i="149"/>
  <c r="R38" i="149"/>
  <c r="R57" i="149"/>
  <c r="R72" i="149"/>
  <c r="R105" i="149"/>
  <c r="S90" i="148"/>
  <c r="S70" i="148"/>
  <c r="R49" i="149"/>
  <c r="S107" i="108"/>
  <c r="S72" i="108"/>
  <c r="S80" i="108"/>
  <c r="S88" i="108"/>
  <c r="S92" i="108"/>
  <c r="S111" i="108"/>
  <c r="S201" i="108"/>
  <c r="S109" i="108"/>
  <c r="S79" i="108"/>
  <c r="S97" i="108"/>
  <c r="S112" i="108"/>
  <c r="S82" i="108"/>
  <c r="S74" i="108"/>
  <c r="S111" i="148"/>
  <c r="S92" i="148"/>
  <c r="S118" i="148"/>
  <c r="R67" i="149"/>
  <c r="S81" i="148"/>
  <c r="S106" i="148"/>
  <c r="S56" i="148"/>
  <c r="S75" i="148"/>
  <c r="R33" i="149"/>
  <c r="R63" i="149"/>
  <c r="S47" i="148"/>
  <c r="S66" i="148"/>
  <c r="S82" i="148"/>
  <c r="R29" i="149"/>
  <c r="R76" i="149"/>
  <c r="R41" i="149"/>
  <c r="R119" i="149"/>
  <c r="R26" i="149"/>
  <c r="R42" i="149"/>
  <c r="R61" i="149"/>
  <c r="R79" i="149"/>
  <c r="R106" i="149"/>
  <c r="R109" i="149"/>
  <c r="S105" i="148"/>
  <c r="S63" i="148"/>
  <c r="S108" i="148"/>
  <c r="R65" i="149"/>
  <c r="S42" i="148"/>
  <c r="S58" i="148"/>
  <c r="S121" i="148"/>
  <c r="R80" i="149"/>
  <c r="R97" i="149"/>
  <c r="S91" i="148"/>
  <c r="R69" i="149"/>
  <c r="R30" i="149"/>
  <c r="R64" i="149"/>
  <c r="S121" i="108"/>
  <c r="S73" i="108"/>
  <c r="S67" i="148"/>
  <c r="R78" i="149"/>
  <c r="S43" i="148"/>
  <c r="S78" i="108"/>
  <c r="S94" i="148"/>
  <c r="S171" i="108"/>
  <c r="S110" i="108"/>
  <c r="R120" i="149"/>
  <c r="S190" i="108"/>
  <c r="S185" i="108"/>
  <c r="R110" i="149"/>
  <c r="S95" i="148"/>
  <c r="S186" i="108"/>
  <c r="R100" i="149"/>
  <c r="S93" i="108"/>
  <c r="S122" i="108"/>
  <c r="S64" i="108"/>
  <c r="S102" i="108"/>
  <c r="S108" i="108"/>
  <c r="S90" i="108"/>
  <c r="S181" i="108"/>
  <c r="S177" i="108"/>
  <c r="S123" i="108"/>
  <c r="S71" i="108"/>
  <c r="S101" i="108"/>
  <c r="S182" i="108"/>
  <c r="S189" i="108"/>
  <c r="S96" i="148"/>
  <c r="S124" i="108"/>
  <c r="S120" i="108"/>
  <c r="S172" i="108"/>
  <c r="S105" i="108"/>
  <c r="S122" i="148"/>
  <c r="S176" i="108"/>
  <c r="S129" i="108"/>
  <c r="S95" i="108"/>
  <c r="S117" i="108"/>
  <c r="S128" i="108"/>
  <c r="R92" i="149"/>
  <c r="S200" i="108"/>
  <c r="S116" i="108"/>
  <c r="S63" i="108"/>
  <c r="V89" i="108"/>
  <c r="S89" i="108"/>
  <c r="N83" i="148"/>
  <c r="N84" i="148" s="1"/>
  <c r="U56" i="81"/>
  <c r="R35" i="152"/>
  <c r="T35" i="152"/>
  <c r="Q107" i="152"/>
  <c r="R36" i="126"/>
  <c r="T49" i="134"/>
  <c r="R49" i="134"/>
  <c r="R163" i="125"/>
  <c r="T163" i="125"/>
  <c r="H16" i="18"/>
  <c r="T34" i="126"/>
  <c r="R34" i="126"/>
  <c r="T36" i="124"/>
  <c r="R36" i="124"/>
  <c r="P16" i="18"/>
  <c r="E157" i="153"/>
  <c r="E158" i="153" s="1"/>
  <c r="E159" i="153" s="1"/>
  <c r="Q22" i="153"/>
  <c r="T143" i="152"/>
  <c r="R143" i="152"/>
  <c r="U34" i="119"/>
  <c r="R34" i="119"/>
  <c r="R67" i="121"/>
  <c r="T67" i="121"/>
  <c r="R108" i="119"/>
  <c r="U108" i="119"/>
  <c r="R88" i="81"/>
  <c r="U88" i="81"/>
  <c r="E67" i="18"/>
  <c r="E68" i="18" s="1"/>
  <c r="T48" i="121"/>
  <c r="R48" i="121"/>
  <c r="U163" i="119"/>
  <c r="R163" i="119"/>
  <c r="T35" i="121"/>
  <c r="R35" i="121"/>
  <c r="U54" i="81"/>
  <c r="S99" i="108"/>
  <c r="Q109" i="119"/>
  <c r="T195" i="140"/>
  <c r="V195" i="90"/>
  <c r="Q61" i="132"/>
  <c r="Q103" i="138"/>
  <c r="T103" i="138" s="1"/>
  <c r="R101" i="138"/>
  <c r="U27" i="81"/>
  <c r="R86" i="81"/>
  <c r="R95" i="81"/>
  <c r="R82" i="81"/>
  <c r="R73" i="81"/>
  <c r="R81" i="81"/>
  <c r="R96" i="81"/>
  <c r="R83" i="81"/>
  <c r="R87" i="81"/>
  <c r="R85" i="81"/>
  <c r="R76" i="81"/>
  <c r="R84" i="81"/>
  <c r="R94" i="81"/>
  <c r="R71" i="81"/>
  <c r="U194" i="93"/>
  <c r="R80" i="81"/>
  <c r="R68" i="81"/>
  <c r="N16" i="18"/>
  <c r="R77" i="81"/>
  <c r="R121" i="149"/>
  <c r="Q61" i="81"/>
  <c r="R36" i="125"/>
  <c r="T36" i="125"/>
  <c r="Q136" i="132"/>
  <c r="Q161" i="132" s="1"/>
  <c r="R129" i="132"/>
  <c r="K68" i="18"/>
  <c r="AA160" i="154" l="1"/>
  <c r="Y165" i="154"/>
  <c r="AA165" i="154" s="1"/>
  <c r="AA167" i="154" s="1"/>
  <c r="F49" i="81"/>
  <c r="F63" i="81" s="1"/>
  <c r="F64" i="81" s="1"/>
  <c r="F123" i="134"/>
  <c r="I31" i="81"/>
  <c r="I121" i="134"/>
  <c r="G31" i="81"/>
  <c r="G121" i="134"/>
  <c r="E249" i="153"/>
  <c r="Q159" i="153"/>
  <c r="P268" i="153"/>
  <c r="P266" i="153"/>
  <c r="P261" i="153"/>
  <c r="P120" i="134" s="1"/>
  <c r="P262" i="153"/>
  <c r="P254" i="153"/>
  <c r="P83" i="149" s="1"/>
  <c r="P84" i="149" s="1"/>
  <c r="P265" i="153"/>
  <c r="P253" i="153"/>
  <c r="P260" i="153"/>
  <c r="P250" i="153"/>
  <c r="P264" i="153"/>
  <c r="P256" i="153"/>
  <c r="P270" i="153"/>
  <c r="P258" i="153"/>
  <c r="P259" i="153"/>
  <c r="P252" i="153"/>
  <c r="P81" i="131" s="1"/>
  <c r="P82" i="131" s="1"/>
  <c r="P271" i="153"/>
  <c r="P267" i="153"/>
  <c r="P257" i="153"/>
  <c r="P251" i="153"/>
  <c r="P255" i="153"/>
  <c r="P269" i="153"/>
  <c r="P263" i="153"/>
  <c r="N85" i="149"/>
  <c r="N86" i="149"/>
  <c r="H31" i="81"/>
  <c r="H121" i="134"/>
  <c r="O86" i="149"/>
  <c r="O85" i="149"/>
  <c r="K31" i="81"/>
  <c r="K45" i="81" s="1"/>
  <c r="K20" i="18" s="1"/>
  <c r="K25" i="18" s="1"/>
  <c r="K121" i="134"/>
  <c r="I45" i="81"/>
  <c r="I20" i="18" s="1"/>
  <c r="I25" i="18" s="1"/>
  <c r="O31" i="81"/>
  <c r="O121" i="134"/>
  <c r="L31" i="81"/>
  <c r="L121" i="134"/>
  <c r="J31" i="81"/>
  <c r="J121" i="134"/>
  <c r="M31" i="81"/>
  <c r="M121" i="134"/>
  <c r="M85" i="149"/>
  <c r="M86" i="149"/>
  <c r="N31" i="81"/>
  <c r="N121" i="134"/>
  <c r="E27" i="91"/>
  <c r="E87" i="140"/>
  <c r="E158" i="140" s="1"/>
  <c r="E159" i="140" s="1"/>
  <c r="E160" i="140" s="1"/>
  <c r="Q157" i="153"/>
  <c r="T12" i="153" s="1"/>
  <c r="P27" i="91"/>
  <c r="P28" i="91" s="1"/>
  <c r="P87" i="140"/>
  <c r="N27" i="91"/>
  <c r="N28" i="91" s="1"/>
  <c r="N87" i="140"/>
  <c r="E137" i="147"/>
  <c r="E140" i="147"/>
  <c r="E139" i="147"/>
  <c r="E141" i="147"/>
  <c r="L87" i="140"/>
  <c r="L27" i="91"/>
  <c r="L28" i="91" s="1"/>
  <c r="H87" i="140"/>
  <c r="H87" i="83" s="1"/>
  <c r="H27" i="91"/>
  <c r="H28" i="91" s="1"/>
  <c r="Q158" i="153"/>
  <c r="Q103" i="81"/>
  <c r="L150" i="93"/>
  <c r="N150" i="93"/>
  <c r="P150" i="93"/>
  <c r="H150" i="93"/>
  <c r="E150" i="93"/>
  <c r="N196" i="153"/>
  <c r="L196" i="153"/>
  <c r="H196" i="153"/>
  <c r="E196" i="153"/>
  <c r="P196" i="153"/>
  <c r="Q98" i="81"/>
  <c r="R78" i="81"/>
  <c r="L14" i="155"/>
  <c r="L39" i="18" s="1"/>
  <c r="L20" i="155"/>
  <c r="L60" i="18" s="1"/>
  <c r="P20" i="155"/>
  <c r="P60" i="18" s="1"/>
  <c r="P14" i="155"/>
  <c r="P39" i="18" s="1"/>
  <c r="H14" i="155"/>
  <c r="H39" i="18" s="1"/>
  <c r="H20" i="155"/>
  <c r="H60" i="18" s="1"/>
  <c r="N14" i="155"/>
  <c r="N39" i="18" s="1"/>
  <c r="N20" i="155"/>
  <c r="N60" i="18" s="1"/>
  <c r="E14" i="155"/>
  <c r="E20" i="155"/>
  <c r="F81" i="127"/>
  <c r="F82" i="127" s="1"/>
  <c r="H91" i="132"/>
  <c r="O91" i="132"/>
  <c r="K91" i="132"/>
  <c r="P158" i="90"/>
  <c r="P159" i="90" s="1"/>
  <c r="P33" i="18" s="1"/>
  <c r="P81" i="130"/>
  <c r="P82" i="130" s="1"/>
  <c r="P98" i="135"/>
  <c r="P37" i="81" s="1"/>
  <c r="P83" i="148"/>
  <c r="P84" i="148" s="1"/>
  <c r="P85" i="148" s="1"/>
  <c r="J81" i="130"/>
  <c r="J82" i="130" s="1"/>
  <c r="J158" i="140"/>
  <c r="J159" i="140" s="1"/>
  <c r="J160" i="140" s="1"/>
  <c r="J98" i="135"/>
  <c r="J158" i="143"/>
  <c r="J159" i="143" s="1"/>
  <c r="J160" i="143" s="1"/>
  <c r="J83" i="147"/>
  <c r="J84" i="147" s="1"/>
  <c r="J158" i="141"/>
  <c r="J159" i="141" s="1"/>
  <c r="J160" i="141" s="1"/>
  <c r="J157" i="93"/>
  <c r="J158" i="93" s="1"/>
  <c r="J31" i="18" s="1"/>
  <c r="J83" i="148"/>
  <c r="J84" i="148" s="1"/>
  <c r="J132" i="148" s="1"/>
  <c r="J158" i="90"/>
  <c r="J159" i="90" s="1"/>
  <c r="J33" i="18" s="1"/>
  <c r="Q157" i="132"/>
  <c r="L52" i="18"/>
  <c r="P52" i="18"/>
  <c r="H52" i="18"/>
  <c r="N52" i="18"/>
  <c r="J158" i="139"/>
  <c r="J159" i="139" s="1"/>
  <c r="J160" i="139" s="1"/>
  <c r="J158" i="142"/>
  <c r="J159" i="142" s="1"/>
  <c r="J160" i="142" s="1"/>
  <c r="F158" i="143"/>
  <c r="F159" i="143" s="1"/>
  <c r="F160" i="143" s="1"/>
  <c r="I158" i="143"/>
  <c r="I159" i="143" s="1"/>
  <c r="I160" i="143" s="1"/>
  <c r="K158" i="143"/>
  <c r="K159" i="143" s="1"/>
  <c r="K160" i="143" s="1"/>
  <c r="O158" i="143"/>
  <c r="O159" i="143" s="1"/>
  <c r="O160" i="143" s="1"/>
  <c r="N158" i="143"/>
  <c r="N159" i="143" s="1"/>
  <c r="N160" i="143" s="1"/>
  <c r="L158" i="143"/>
  <c r="L159" i="143" s="1"/>
  <c r="L160" i="143" s="1"/>
  <c r="F132" i="148"/>
  <c r="P83" i="147"/>
  <c r="P84" i="147" s="1"/>
  <c r="P158" i="139"/>
  <c r="P159" i="139" s="1"/>
  <c r="P160" i="139" s="1"/>
  <c r="P158" i="141"/>
  <c r="P159" i="141" s="1"/>
  <c r="P160" i="141" s="1"/>
  <c r="F103" i="132"/>
  <c r="K158" i="142"/>
  <c r="K159" i="142" s="1"/>
  <c r="K160" i="142" s="1"/>
  <c r="N158" i="142"/>
  <c r="N159" i="142" s="1"/>
  <c r="N160" i="142" s="1"/>
  <c r="L118" i="108"/>
  <c r="L130" i="108" s="1"/>
  <c r="I118" i="108"/>
  <c r="I130" i="108" s="1"/>
  <c r="O118" i="108"/>
  <c r="O130" i="108" s="1"/>
  <c r="L158" i="142"/>
  <c r="L159" i="142" s="1"/>
  <c r="L160" i="142" s="1"/>
  <c r="F118" i="108"/>
  <c r="K118" i="108"/>
  <c r="K130" i="108" s="1"/>
  <c r="F37" i="81"/>
  <c r="F45" i="81" s="1"/>
  <c r="F20" i="18" s="1"/>
  <c r="F25" i="18" s="1"/>
  <c r="I158" i="142"/>
  <c r="I159" i="142" s="1"/>
  <c r="I160" i="142" s="1"/>
  <c r="O158" i="142"/>
  <c r="O159" i="142" s="1"/>
  <c r="O160" i="142" s="1"/>
  <c r="N118" i="108"/>
  <c r="N130" i="108" s="1"/>
  <c r="O81" i="127"/>
  <c r="O82" i="127" s="1"/>
  <c r="N81" i="130"/>
  <c r="N82" i="130" s="1"/>
  <c r="I81" i="130"/>
  <c r="I82" i="130" s="1"/>
  <c r="K81" i="127"/>
  <c r="K82" i="127" s="1"/>
  <c r="O37" i="81"/>
  <c r="I132" i="148"/>
  <c r="O132" i="148"/>
  <c r="I99" i="135"/>
  <c r="I55" i="81" s="1"/>
  <c r="I158" i="140"/>
  <c r="I159" i="140" s="1"/>
  <c r="I160" i="140" s="1"/>
  <c r="L132" i="148"/>
  <c r="L158" i="90"/>
  <c r="L159" i="90" s="1"/>
  <c r="L33" i="18" s="1"/>
  <c r="O158" i="90"/>
  <c r="O159" i="90" s="1"/>
  <c r="O33" i="18" s="1"/>
  <c r="F158" i="90"/>
  <c r="F159" i="90" s="1"/>
  <c r="F33" i="18" s="1"/>
  <c r="K158" i="90"/>
  <c r="K159" i="90" s="1"/>
  <c r="K33" i="18" s="1"/>
  <c r="N158" i="90"/>
  <c r="N159" i="90" s="1"/>
  <c r="N33" i="18" s="1"/>
  <c r="I158" i="90"/>
  <c r="I159" i="90" s="1"/>
  <c r="I33" i="18" s="1"/>
  <c r="N37" i="81"/>
  <c r="N45" i="81" s="1"/>
  <c r="N20" i="18" s="1"/>
  <c r="N25" i="18" s="1"/>
  <c r="F70" i="83"/>
  <c r="O85" i="148"/>
  <c r="Q68" i="18"/>
  <c r="V202" i="108"/>
  <c r="S202" i="108"/>
  <c r="U157" i="154"/>
  <c r="U64" i="154"/>
  <c r="V187" i="108"/>
  <c r="U112" i="148"/>
  <c r="Q123" i="148"/>
  <c r="Q124" i="148" s="1"/>
  <c r="K99" i="135"/>
  <c r="K55" i="81" s="1"/>
  <c r="O157" i="93"/>
  <c r="O158" i="93" s="1"/>
  <c r="O32" i="18"/>
  <c r="H158" i="141"/>
  <c r="H159" i="141" s="1"/>
  <c r="H160" i="141" s="1"/>
  <c r="H83" i="148"/>
  <c r="H84" i="148" s="1"/>
  <c r="H98" i="135"/>
  <c r="R136" i="132"/>
  <c r="Q156" i="132"/>
  <c r="Q158" i="132" s="1"/>
  <c r="K157" i="93"/>
  <c r="K158" i="93" s="1"/>
  <c r="K31" i="18" s="1"/>
  <c r="K32" i="18"/>
  <c r="N158" i="139"/>
  <c r="N159" i="139" s="1"/>
  <c r="N160" i="139" s="1"/>
  <c r="K158" i="139"/>
  <c r="R34" i="130"/>
  <c r="T34" i="130"/>
  <c r="K132" i="148"/>
  <c r="K86" i="148"/>
  <c r="M157" i="93"/>
  <c r="M158" i="93" s="1"/>
  <c r="M83" i="148"/>
  <c r="M84" i="148" s="1"/>
  <c r="M98" i="135"/>
  <c r="M158" i="140"/>
  <c r="M159" i="140" s="1"/>
  <c r="M160" i="140" s="1"/>
  <c r="M158" i="141"/>
  <c r="M159" i="141" s="1"/>
  <c r="M160" i="141" s="1"/>
  <c r="S51" i="132"/>
  <c r="R51" i="132"/>
  <c r="I157" i="93"/>
  <c r="I158" i="93" s="1"/>
  <c r="I31" i="18" s="1"/>
  <c r="I32" i="18"/>
  <c r="S43" i="132"/>
  <c r="R43" i="132"/>
  <c r="G32" i="18"/>
  <c r="T39" i="130"/>
  <c r="R39" i="130"/>
  <c r="N85" i="148"/>
  <c r="N132" i="148"/>
  <c r="N86" i="148"/>
  <c r="S56" i="132"/>
  <c r="R56" i="132"/>
  <c r="L37" i="81"/>
  <c r="L99" i="135"/>
  <c r="L55" i="81" s="1"/>
  <c r="T29" i="130"/>
  <c r="R29" i="130"/>
  <c r="T21" i="130"/>
  <c r="R21" i="130"/>
  <c r="U61" i="81"/>
  <c r="R61" i="132"/>
  <c r="S61" i="132"/>
  <c r="G83" i="148"/>
  <c r="G84" i="148" s="1"/>
  <c r="G98" i="135"/>
  <c r="G158" i="141"/>
  <c r="G159" i="141" s="1"/>
  <c r="G160" i="141" s="1"/>
  <c r="G158" i="140"/>
  <c r="G159" i="140" s="1"/>
  <c r="G160" i="140" s="1"/>
  <c r="O158" i="140"/>
  <c r="O159" i="140" s="1"/>
  <c r="O160" i="140" s="1"/>
  <c r="J32" i="18"/>
  <c r="I109" i="124"/>
  <c r="I110" i="124" s="1"/>
  <c r="O109" i="124"/>
  <c r="O110" i="124" s="1"/>
  <c r="L109" i="124"/>
  <c r="L110" i="124" s="1"/>
  <c r="M32" i="18"/>
  <c r="Q36" i="132"/>
  <c r="Q110" i="119"/>
  <c r="U110" i="119" s="1"/>
  <c r="U109" i="119"/>
  <c r="Q109" i="152"/>
  <c r="T109" i="152" s="1"/>
  <c r="T107" i="152"/>
  <c r="R107" i="152"/>
  <c r="K158" i="140"/>
  <c r="K159" i="140" s="1"/>
  <c r="K160" i="140" s="1"/>
  <c r="T14" i="127"/>
  <c r="R14" i="127"/>
  <c r="L45" i="81" l="1"/>
  <c r="L20" i="18" s="1"/>
  <c r="L25" i="18" s="1"/>
  <c r="O45" i="81"/>
  <c r="O20" i="18" s="1"/>
  <c r="O25" i="18" s="1"/>
  <c r="O49" i="81"/>
  <c r="O63" i="81" s="1"/>
  <c r="O64" i="81" s="1"/>
  <c r="O123" i="134"/>
  <c r="H49" i="81"/>
  <c r="H123" i="134"/>
  <c r="J123" i="134"/>
  <c r="J49" i="81"/>
  <c r="N49" i="81"/>
  <c r="N63" i="81" s="1"/>
  <c r="N64" i="81" s="1"/>
  <c r="N123" i="134"/>
  <c r="R69" i="144"/>
  <c r="P81" i="144"/>
  <c r="P82" i="144" s="1"/>
  <c r="E268" i="153"/>
  <c r="Q249" i="153"/>
  <c r="E263" i="153"/>
  <c r="E270" i="153"/>
  <c r="E251" i="153"/>
  <c r="E259" i="153"/>
  <c r="Q95" i="126" s="1"/>
  <c r="E252" i="153"/>
  <c r="E253" i="153"/>
  <c r="E258" i="153"/>
  <c r="Q96" i="121" s="1"/>
  <c r="E265" i="153"/>
  <c r="E254" i="153"/>
  <c r="E267" i="153"/>
  <c r="E250" i="153"/>
  <c r="E91" i="132" s="1"/>
  <c r="E256" i="153"/>
  <c r="Q95" i="123" s="1"/>
  <c r="E257" i="153"/>
  <c r="E266" i="153"/>
  <c r="E261" i="153"/>
  <c r="E264" i="153"/>
  <c r="E269" i="153"/>
  <c r="E262" i="153"/>
  <c r="E260" i="153"/>
  <c r="E271" i="153"/>
  <c r="Q271" i="153" s="1"/>
  <c r="E255" i="153"/>
  <c r="K49" i="81"/>
  <c r="K63" i="81" s="1"/>
  <c r="K64" i="81" s="1"/>
  <c r="K123" i="134"/>
  <c r="G123" i="134"/>
  <c r="G49" i="81"/>
  <c r="P85" i="149"/>
  <c r="P86" i="149"/>
  <c r="L49" i="81"/>
  <c r="L63" i="81" s="1"/>
  <c r="L64" i="81" s="1"/>
  <c r="L123" i="134"/>
  <c r="I123" i="134"/>
  <c r="I49" i="81"/>
  <c r="I63" i="81" s="1"/>
  <c r="I64" i="81" s="1"/>
  <c r="M123" i="134"/>
  <c r="M49" i="81"/>
  <c r="P31" i="81"/>
  <c r="P45" i="81" s="1"/>
  <c r="P20" i="18" s="1"/>
  <c r="P25" i="18" s="1"/>
  <c r="P121" i="134"/>
  <c r="E28" i="91"/>
  <c r="F18" i="18"/>
  <c r="F23" i="18" s="1"/>
  <c r="U158" i="154"/>
  <c r="Q99" i="81"/>
  <c r="Q105" i="81"/>
  <c r="Q163" i="132"/>
  <c r="J86" i="147"/>
  <c r="J143" i="147"/>
  <c r="P86" i="147"/>
  <c r="P143" i="147"/>
  <c r="R98" i="81"/>
  <c r="U98" i="81"/>
  <c r="J37" i="81"/>
  <c r="J45" i="81" s="1"/>
  <c r="J20" i="18" s="1"/>
  <c r="J25" i="18" s="1"/>
  <c r="J99" i="135"/>
  <c r="J55" i="81" s="1"/>
  <c r="E158" i="139"/>
  <c r="E159" i="139" s="1"/>
  <c r="L91" i="132"/>
  <c r="L103" i="132" s="1"/>
  <c r="L81" i="127"/>
  <c r="L82" i="127" s="1"/>
  <c r="P91" i="132"/>
  <c r="P103" i="132" s="1"/>
  <c r="J133" i="148"/>
  <c r="J134" i="148"/>
  <c r="K134" i="148"/>
  <c r="K133" i="148"/>
  <c r="N133" i="148"/>
  <c r="N134" i="148"/>
  <c r="O134" i="148"/>
  <c r="O133" i="148"/>
  <c r="L134" i="148"/>
  <c r="L133" i="148"/>
  <c r="I133" i="148"/>
  <c r="I134" i="148"/>
  <c r="P81" i="127"/>
  <c r="P82" i="127" s="1"/>
  <c r="J86" i="148"/>
  <c r="J118" i="108"/>
  <c r="J130" i="108" s="1"/>
  <c r="O70" i="83"/>
  <c r="O158" i="83" s="1"/>
  <c r="O159" i="83" s="1"/>
  <c r="O30" i="18" s="1"/>
  <c r="G158" i="143"/>
  <c r="G159" i="143" s="1"/>
  <c r="G160" i="143" s="1"/>
  <c r="M158" i="143"/>
  <c r="M159" i="143" s="1"/>
  <c r="M160" i="143" s="1"/>
  <c r="K103" i="132"/>
  <c r="P158" i="143"/>
  <c r="P159" i="143" s="1"/>
  <c r="P160" i="143" s="1"/>
  <c r="H158" i="143"/>
  <c r="H159" i="143" s="1"/>
  <c r="H160" i="143" s="1"/>
  <c r="P99" i="135"/>
  <c r="P55" i="81" s="1"/>
  <c r="N70" i="83"/>
  <c r="N103" i="132"/>
  <c r="F119" i="132"/>
  <c r="F104" i="132"/>
  <c r="F105" i="132" s="1"/>
  <c r="J70" i="83"/>
  <c r="J158" i="83" s="1"/>
  <c r="J159" i="83" s="1"/>
  <c r="J30" i="18" s="1"/>
  <c r="I70" i="83"/>
  <c r="I158" i="83" s="1"/>
  <c r="I159" i="83" s="1"/>
  <c r="I30" i="18" s="1"/>
  <c r="L70" i="83"/>
  <c r="K70" i="83"/>
  <c r="K158" i="83" s="1"/>
  <c r="P132" i="148"/>
  <c r="P133" i="148" s="1"/>
  <c r="P86" i="148"/>
  <c r="P109" i="124" s="1"/>
  <c r="P110" i="124" s="1"/>
  <c r="P118" i="108"/>
  <c r="P130" i="108" s="1"/>
  <c r="O103" i="132"/>
  <c r="O83" i="147"/>
  <c r="O84" i="147" s="1"/>
  <c r="K83" i="147"/>
  <c r="K84" i="147" s="1"/>
  <c r="I83" i="147"/>
  <c r="I84" i="147" s="1"/>
  <c r="M118" i="108"/>
  <c r="M130" i="108" s="1"/>
  <c r="H83" i="147"/>
  <c r="H84" i="147" s="1"/>
  <c r="O81" i="130"/>
  <c r="O82" i="130" s="1"/>
  <c r="L81" i="130"/>
  <c r="L82" i="130" s="1"/>
  <c r="N83" i="147"/>
  <c r="N84" i="147" s="1"/>
  <c r="L83" i="147"/>
  <c r="L84" i="147" s="1"/>
  <c r="G158" i="142"/>
  <c r="G159" i="142" s="1"/>
  <c r="G160" i="142" s="1"/>
  <c r="M158" i="142"/>
  <c r="M159" i="142" s="1"/>
  <c r="M160" i="142" s="1"/>
  <c r="P70" i="83"/>
  <c r="F83" i="147"/>
  <c r="F84" i="147" s="1"/>
  <c r="G118" i="108"/>
  <c r="G130" i="108" s="1"/>
  <c r="G157" i="93"/>
  <c r="G158" i="93" s="1"/>
  <c r="G31" i="18" s="1"/>
  <c r="H158" i="142"/>
  <c r="H159" i="142" s="1"/>
  <c r="H160" i="142" s="1"/>
  <c r="I103" i="132"/>
  <c r="H81" i="130"/>
  <c r="H82" i="130" s="1"/>
  <c r="G81" i="130"/>
  <c r="G82" i="130" s="1"/>
  <c r="M103" i="132"/>
  <c r="G158" i="90"/>
  <c r="G159" i="90" s="1"/>
  <c r="G33" i="18" s="1"/>
  <c r="M158" i="90"/>
  <c r="M159" i="90" s="1"/>
  <c r="M33" i="18" s="1"/>
  <c r="H158" i="90"/>
  <c r="H159" i="90" s="1"/>
  <c r="H33" i="18" s="1"/>
  <c r="S123" i="148"/>
  <c r="U123" i="148"/>
  <c r="N87" i="83"/>
  <c r="N158" i="140"/>
  <c r="N159" i="140" s="1"/>
  <c r="N160" i="140" s="1"/>
  <c r="S36" i="132"/>
  <c r="R36" i="132"/>
  <c r="M159" i="93"/>
  <c r="M31" i="18"/>
  <c r="H157" i="93"/>
  <c r="H158" i="93" s="1"/>
  <c r="H31" i="18" s="1"/>
  <c r="H32" i="18"/>
  <c r="G158" i="139"/>
  <c r="G159" i="139" s="1"/>
  <c r="G160" i="139" s="1"/>
  <c r="E87" i="83"/>
  <c r="H81" i="127"/>
  <c r="H82" i="127" s="1"/>
  <c r="N157" i="93"/>
  <c r="N158" i="93" s="1"/>
  <c r="N32" i="18"/>
  <c r="P87" i="83"/>
  <c r="P158" i="140"/>
  <c r="P159" i="140" s="1"/>
  <c r="P160" i="140" s="1"/>
  <c r="E32" i="18"/>
  <c r="E60" i="18"/>
  <c r="M158" i="139"/>
  <c r="M159" i="139" s="1"/>
  <c r="M160" i="139" s="1"/>
  <c r="L87" i="83"/>
  <c r="L158" i="140"/>
  <c r="L159" i="140" s="1"/>
  <c r="L160" i="140" s="1"/>
  <c r="H37" i="81"/>
  <c r="H45" i="81" s="1"/>
  <c r="H20" i="18" s="1"/>
  <c r="H25" i="18" s="1"/>
  <c r="H99" i="135"/>
  <c r="H55" i="81" s="1"/>
  <c r="G81" i="127"/>
  <c r="G82" i="127" s="1"/>
  <c r="G132" i="148"/>
  <c r="G86" i="148"/>
  <c r="L157" i="93"/>
  <c r="L158" i="93" s="1"/>
  <c r="L31" i="18" s="1"/>
  <c r="L32" i="18"/>
  <c r="R156" i="132"/>
  <c r="H158" i="140"/>
  <c r="H159" i="140" s="1"/>
  <c r="H160" i="140" s="1"/>
  <c r="P157" i="93"/>
  <c r="P158" i="93" s="1"/>
  <c r="P32" i="18"/>
  <c r="G37" i="81"/>
  <c r="G45" i="81" s="1"/>
  <c r="G20" i="18" s="1"/>
  <c r="G25" i="18" s="1"/>
  <c r="G99" i="135"/>
  <c r="G55" i="81" s="1"/>
  <c r="E39" i="18"/>
  <c r="N109" i="124"/>
  <c r="N110" i="124" s="1"/>
  <c r="M37" i="81"/>
  <c r="M45" i="81" s="1"/>
  <c r="M20" i="18" s="1"/>
  <c r="M25" i="18" s="1"/>
  <c r="M99" i="135"/>
  <c r="M55" i="81" s="1"/>
  <c r="M85" i="148"/>
  <c r="M132" i="148"/>
  <c r="M86" i="148"/>
  <c r="M81" i="127"/>
  <c r="M82" i="127" s="1"/>
  <c r="K109" i="124"/>
  <c r="K110" i="124" s="1"/>
  <c r="H158" i="139"/>
  <c r="H159" i="139" s="1"/>
  <c r="H160" i="139" s="1"/>
  <c r="H86" i="148"/>
  <c r="H132" i="148"/>
  <c r="O159" i="93"/>
  <c r="O31" i="18"/>
  <c r="H63" i="81" l="1"/>
  <c r="H64" i="81" s="1"/>
  <c r="M63" i="81"/>
  <c r="M64" i="81" s="1"/>
  <c r="J63" i="81"/>
  <c r="J64" i="81" s="1"/>
  <c r="G63" i="81"/>
  <c r="G64" i="81" s="1"/>
  <c r="Q71" i="149"/>
  <c r="E83" i="149"/>
  <c r="E84" i="149" s="1"/>
  <c r="E86" i="149" s="1"/>
  <c r="Q86" i="149" s="1"/>
  <c r="T86" i="149" s="1"/>
  <c r="E120" i="134"/>
  <c r="Q108" i="134"/>
  <c r="U96" i="121"/>
  <c r="W129" i="108"/>
  <c r="Q69" i="144"/>
  <c r="Q81" i="144" s="1"/>
  <c r="Q82" i="144" s="1"/>
  <c r="E81" i="144"/>
  <c r="E82" i="144" s="1"/>
  <c r="W120" i="108"/>
  <c r="R95" i="122"/>
  <c r="T95" i="125"/>
  <c r="W123" i="108"/>
  <c r="Q69" i="131"/>
  <c r="E81" i="131"/>
  <c r="E82" i="131" s="1"/>
  <c r="U95" i="123"/>
  <c r="W122" i="108"/>
  <c r="R95" i="123"/>
  <c r="T95" i="123"/>
  <c r="W130" i="108"/>
  <c r="T95" i="126"/>
  <c r="R95" i="126"/>
  <c r="P49" i="81"/>
  <c r="P63" i="81" s="1"/>
  <c r="P64" i="81" s="1"/>
  <c r="P123" i="134"/>
  <c r="L104" i="132"/>
  <c r="L105" i="132" s="1"/>
  <c r="O104" i="132"/>
  <c r="O105" i="132" s="1"/>
  <c r="O13" i="155"/>
  <c r="O44" i="18" s="1"/>
  <c r="O47" i="18" s="1"/>
  <c r="N104" i="132"/>
  <c r="N105" i="132" s="1"/>
  <c r="P104" i="132"/>
  <c r="P105" i="132" s="1"/>
  <c r="K104" i="132"/>
  <c r="K105" i="132" s="1"/>
  <c r="K13" i="155"/>
  <c r="K44" i="18" s="1"/>
  <c r="K47" i="18" s="1"/>
  <c r="I104" i="132"/>
  <c r="I105" i="132" s="1"/>
  <c r="I13" i="155"/>
  <c r="I44" i="18" s="1"/>
  <c r="I47" i="18" s="1"/>
  <c r="P146" i="147"/>
  <c r="P107" i="125" s="1"/>
  <c r="P108" i="125" s="1"/>
  <c r="P145" i="147"/>
  <c r="P107" i="123" s="1"/>
  <c r="P144" i="147"/>
  <c r="P107" i="122" s="1"/>
  <c r="P108" i="122" s="1"/>
  <c r="P127" i="122" s="1"/>
  <c r="P147" i="147"/>
  <c r="P108" i="121" s="1"/>
  <c r="P148" i="147"/>
  <c r="P107" i="126" s="1"/>
  <c r="P108" i="126" s="1"/>
  <c r="L86" i="147"/>
  <c r="L143" i="147"/>
  <c r="O86" i="147"/>
  <c r="O143" i="147"/>
  <c r="N86" i="147"/>
  <c r="N143" i="147"/>
  <c r="J148" i="147"/>
  <c r="J107" i="126" s="1"/>
  <c r="J108" i="126" s="1"/>
  <c r="J147" i="147"/>
  <c r="J108" i="121" s="1"/>
  <c r="J109" i="121" s="1"/>
  <c r="J146" i="147"/>
  <c r="J107" i="125" s="1"/>
  <c r="J108" i="125" s="1"/>
  <c r="J145" i="147"/>
  <c r="J107" i="123" s="1"/>
  <c r="J108" i="123" s="1"/>
  <c r="J109" i="123" s="1"/>
  <c r="J110" i="123" s="1"/>
  <c r="J144" i="147"/>
  <c r="I86" i="147"/>
  <c r="I143" i="147"/>
  <c r="K86" i="147"/>
  <c r="K143" i="147"/>
  <c r="F86" i="147"/>
  <c r="F143" i="147"/>
  <c r="H86" i="147"/>
  <c r="H143" i="147"/>
  <c r="J109" i="124"/>
  <c r="J110" i="124" s="1"/>
  <c r="L18" i="18"/>
  <c r="L23" i="18" s="1"/>
  <c r="L119" i="132"/>
  <c r="J91" i="132"/>
  <c r="J103" i="132" s="1"/>
  <c r="J81" i="127"/>
  <c r="J82" i="127" s="1"/>
  <c r="J135" i="148"/>
  <c r="J136" i="148" s="1"/>
  <c r="I135" i="148"/>
  <c r="I136" i="148" s="1"/>
  <c r="O135" i="148"/>
  <c r="O136" i="148" s="1"/>
  <c r="N135" i="148"/>
  <c r="N136" i="148" s="1"/>
  <c r="H134" i="148"/>
  <c r="H133" i="148"/>
  <c r="M133" i="148"/>
  <c r="M134" i="148"/>
  <c r="L135" i="148"/>
  <c r="L136" i="148" s="1"/>
  <c r="G134" i="148"/>
  <c r="G133" i="148"/>
  <c r="K135" i="148"/>
  <c r="K136" i="148" s="1"/>
  <c r="P134" i="148"/>
  <c r="O160" i="83"/>
  <c r="N119" i="132"/>
  <c r="H70" i="83"/>
  <c r="H158" i="83" s="1"/>
  <c r="H159" i="83" s="1"/>
  <c r="H160" i="83" s="1"/>
  <c r="N18" i="18"/>
  <c r="K18" i="18"/>
  <c r="K23" i="18" s="1"/>
  <c r="K119" i="132"/>
  <c r="N158" i="83"/>
  <c r="N159" i="83" s="1"/>
  <c r="N160" i="83" s="1"/>
  <c r="L158" i="83"/>
  <c r="L159" i="83" s="1"/>
  <c r="L160" i="83" s="1"/>
  <c r="J160" i="83"/>
  <c r="M70" i="83"/>
  <c r="M158" i="83" s="1"/>
  <c r="M159" i="83" s="1"/>
  <c r="M160" i="83" s="1"/>
  <c r="I160" i="83"/>
  <c r="O18" i="18"/>
  <c r="G70" i="83"/>
  <c r="G158" i="83" s="1"/>
  <c r="G159" i="83" s="1"/>
  <c r="G160" i="83" s="1"/>
  <c r="H118" i="108"/>
  <c r="H130" i="108" s="1"/>
  <c r="P119" i="132"/>
  <c r="O119" i="132"/>
  <c r="P18" i="18"/>
  <c r="P158" i="83"/>
  <c r="P159" i="83" s="1"/>
  <c r="P160" i="83" s="1"/>
  <c r="G103" i="132"/>
  <c r="G83" i="147"/>
  <c r="G84" i="147" s="1"/>
  <c r="M83" i="147"/>
  <c r="M84" i="147" s="1"/>
  <c r="Q70" i="141"/>
  <c r="E158" i="141"/>
  <c r="E159" i="141" s="1"/>
  <c r="E160" i="141" s="1"/>
  <c r="H103" i="132"/>
  <c r="I119" i="132"/>
  <c r="P158" i="142"/>
  <c r="P159" i="142" s="1"/>
  <c r="P160" i="142" s="1"/>
  <c r="I18" i="18"/>
  <c r="M81" i="130"/>
  <c r="M82" i="130" s="1"/>
  <c r="G109" i="124"/>
  <c r="G110" i="124" s="1"/>
  <c r="H109" i="124"/>
  <c r="H110" i="124" s="1"/>
  <c r="P159" i="93"/>
  <c r="P31" i="18"/>
  <c r="M109" i="124"/>
  <c r="M110" i="124" s="1"/>
  <c r="E86" i="18"/>
  <c r="M18" i="18"/>
  <c r="M104" i="132"/>
  <c r="M105" i="132" s="1"/>
  <c r="M119" i="132"/>
  <c r="N159" i="93"/>
  <c r="N31" i="18"/>
  <c r="T69" i="131" l="1"/>
  <c r="Q81" i="131"/>
  <c r="R69" i="131"/>
  <c r="Q120" i="134"/>
  <c r="R108" i="134"/>
  <c r="W161" i="153"/>
  <c r="T108" i="134"/>
  <c r="E31" i="81"/>
  <c r="Q31" i="81" s="1"/>
  <c r="E121" i="134"/>
  <c r="Q83" i="149"/>
  <c r="T71" i="149"/>
  <c r="W118" i="108"/>
  <c r="R71" i="149"/>
  <c r="V70" i="141"/>
  <c r="V74" i="83"/>
  <c r="L13" i="155"/>
  <c r="L44" i="18" s="1"/>
  <c r="L47" i="18" s="1"/>
  <c r="P13" i="155"/>
  <c r="P44" i="18" s="1"/>
  <c r="P47" i="18" s="1"/>
  <c r="N13" i="155"/>
  <c r="N44" i="18" s="1"/>
  <c r="N47" i="18" s="1"/>
  <c r="M13" i="155"/>
  <c r="M44" i="18" s="1"/>
  <c r="M47" i="18" s="1"/>
  <c r="J18" i="18"/>
  <c r="J23" i="18" s="1"/>
  <c r="J13" i="155"/>
  <c r="J44" i="18" s="1"/>
  <c r="J47" i="18" s="1"/>
  <c r="H18" i="18"/>
  <c r="H13" i="155"/>
  <c r="H44" i="18" s="1"/>
  <c r="H47" i="18" s="1"/>
  <c r="G18" i="18"/>
  <c r="G13" i="155"/>
  <c r="G44" i="18" s="1"/>
  <c r="G47" i="18" s="1"/>
  <c r="J107" i="122"/>
  <c r="J108" i="122" s="1"/>
  <c r="G86" i="147"/>
  <c r="G143" i="147"/>
  <c r="H146" i="147"/>
  <c r="H107" i="125" s="1"/>
  <c r="H108" i="125" s="1"/>
  <c r="H109" i="125" s="1"/>
  <c r="H110" i="125" s="1"/>
  <c r="H145" i="147"/>
  <c r="H107" i="123" s="1"/>
  <c r="H108" i="123" s="1"/>
  <c r="H109" i="123" s="1"/>
  <c r="H110" i="123" s="1"/>
  <c r="H144" i="147"/>
  <c r="H107" i="122" s="1"/>
  <c r="H108" i="122" s="1"/>
  <c r="H127" i="122" s="1"/>
  <c r="H147" i="147"/>
  <c r="H108" i="121" s="1"/>
  <c r="H109" i="121" s="1"/>
  <c r="H148" i="147"/>
  <c r="H107" i="126" s="1"/>
  <c r="H108" i="126" s="1"/>
  <c r="P109" i="126"/>
  <c r="P110" i="126" s="1"/>
  <c r="P127" i="126"/>
  <c r="L145" i="147"/>
  <c r="L107" i="123" s="1"/>
  <c r="L108" i="123" s="1"/>
  <c r="L109" i="123" s="1"/>
  <c r="L110" i="123" s="1"/>
  <c r="L148" i="147"/>
  <c r="L107" i="126" s="1"/>
  <c r="L108" i="126" s="1"/>
  <c r="L144" i="147"/>
  <c r="L107" i="122" s="1"/>
  <c r="L146" i="147"/>
  <c r="L107" i="125" s="1"/>
  <c r="L108" i="125" s="1"/>
  <c r="L109" i="125" s="1"/>
  <c r="L110" i="125" s="1"/>
  <c r="L147" i="147"/>
  <c r="L108" i="121" s="1"/>
  <c r="K145" i="147"/>
  <c r="K107" i="123" s="1"/>
  <c r="K108" i="123" s="1"/>
  <c r="K127" i="123" s="1"/>
  <c r="K146" i="147"/>
  <c r="K107" i="125" s="1"/>
  <c r="K108" i="125" s="1"/>
  <c r="K127" i="125" s="1"/>
  <c r="K148" i="147"/>
  <c r="K107" i="126" s="1"/>
  <c r="K108" i="126" s="1"/>
  <c r="K147" i="147"/>
  <c r="K108" i="121" s="1"/>
  <c r="K109" i="121" s="1"/>
  <c r="K144" i="147"/>
  <c r="J127" i="126"/>
  <c r="J109" i="126"/>
  <c r="J110" i="126" s="1"/>
  <c r="N144" i="147"/>
  <c r="N146" i="147"/>
  <c r="N107" i="125" s="1"/>
  <c r="N108" i="125" s="1"/>
  <c r="N109" i="125" s="1"/>
  <c r="N110" i="125" s="1"/>
  <c r="N147" i="147"/>
  <c r="N108" i="121" s="1"/>
  <c r="N109" i="121" s="1"/>
  <c r="N145" i="147"/>
  <c r="N107" i="123" s="1"/>
  <c r="N108" i="123" s="1"/>
  <c r="N109" i="123" s="1"/>
  <c r="N110" i="123" s="1"/>
  <c r="N148" i="147"/>
  <c r="N107" i="126" s="1"/>
  <c r="N108" i="126" s="1"/>
  <c r="I144" i="147"/>
  <c r="I146" i="147"/>
  <c r="I107" i="125" s="1"/>
  <c r="I108" i="125" s="1"/>
  <c r="I109" i="125" s="1"/>
  <c r="I110" i="125" s="1"/>
  <c r="I148" i="147"/>
  <c r="I107" i="126" s="1"/>
  <c r="I108" i="126" s="1"/>
  <c r="I147" i="147"/>
  <c r="I108" i="121" s="1"/>
  <c r="I109" i="121" s="1"/>
  <c r="I145" i="147"/>
  <c r="I107" i="123" s="1"/>
  <c r="I108" i="123" s="1"/>
  <c r="I127" i="123" s="1"/>
  <c r="M86" i="147"/>
  <c r="M143" i="147"/>
  <c r="O148" i="147"/>
  <c r="O107" i="126" s="1"/>
  <c r="O108" i="126" s="1"/>
  <c r="O144" i="147"/>
  <c r="O146" i="147"/>
  <c r="O107" i="125" s="1"/>
  <c r="O108" i="125" s="1"/>
  <c r="O127" i="125" s="1"/>
  <c r="O147" i="147"/>
  <c r="O108" i="121" s="1"/>
  <c r="O109" i="121" s="1"/>
  <c r="O145" i="147"/>
  <c r="O107" i="123" s="1"/>
  <c r="O108" i="123" s="1"/>
  <c r="O109" i="123" s="1"/>
  <c r="O110" i="123" s="1"/>
  <c r="J127" i="123"/>
  <c r="P108" i="123"/>
  <c r="P109" i="123" s="1"/>
  <c r="P110" i="123" s="1"/>
  <c r="P109" i="125"/>
  <c r="P110" i="125" s="1"/>
  <c r="P127" i="125"/>
  <c r="J109" i="125"/>
  <c r="J110" i="125" s="1"/>
  <c r="J127" i="125"/>
  <c r="P109" i="121"/>
  <c r="J104" i="132"/>
  <c r="J105" i="132" s="1"/>
  <c r="J119" i="132"/>
  <c r="P135" i="148"/>
  <c r="P136" i="148" s="1"/>
  <c r="G135" i="148"/>
  <c r="G136" i="148" s="1"/>
  <c r="M135" i="148"/>
  <c r="M136" i="148" s="1"/>
  <c r="H135" i="148"/>
  <c r="H136" i="148" s="1"/>
  <c r="H30" i="18"/>
  <c r="N23" i="18"/>
  <c r="L30" i="18"/>
  <c r="N30" i="18"/>
  <c r="H104" i="132"/>
  <c r="H105" i="132" s="1"/>
  <c r="M30" i="18"/>
  <c r="G119" i="132"/>
  <c r="G30" i="18"/>
  <c r="O23" i="18"/>
  <c r="H119" i="132"/>
  <c r="G104" i="132"/>
  <c r="G105" i="132" s="1"/>
  <c r="P30" i="18"/>
  <c r="P23" i="18"/>
  <c r="P109" i="122"/>
  <c r="P110" i="122" s="1"/>
  <c r="T70" i="141"/>
  <c r="Q158" i="141"/>
  <c r="I23" i="18"/>
  <c r="Q70" i="93"/>
  <c r="E157" i="93"/>
  <c r="E158" i="93" s="1"/>
  <c r="E31" i="18" s="1"/>
  <c r="E158" i="90"/>
  <c r="E159" i="90" s="1"/>
  <c r="E33" i="18" s="1"/>
  <c r="Q33" i="18" s="1"/>
  <c r="Q70" i="90"/>
  <c r="W163" i="153" s="1"/>
  <c r="M23" i="18"/>
  <c r="E83" i="147"/>
  <c r="Q71" i="147"/>
  <c r="W131" i="108" s="1"/>
  <c r="Q70" i="142"/>
  <c r="E158" i="142"/>
  <c r="E159" i="142" s="1"/>
  <c r="E160" i="142" s="1"/>
  <c r="E83" i="148"/>
  <c r="E84" i="148" s="1"/>
  <c r="Q71" i="148"/>
  <c r="Q69" i="130"/>
  <c r="E81" i="130"/>
  <c r="E82" i="130" s="1"/>
  <c r="E98" i="135"/>
  <c r="E99" i="135" s="1"/>
  <c r="Q86" i="135"/>
  <c r="Q70" i="140"/>
  <c r="Q69" i="127"/>
  <c r="E81" i="127"/>
  <c r="E82" i="127" s="1"/>
  <c r="E70" i="83"/>
  <c r="Q70" i="139"/>
  <c r="E160" i="139"/>
  <c r="E158" i="143"/>
  <c r="E159" i="143" s="1"/>
  <c r="E160" i="143" s="1"/>
  <c r="Q70" i="143"/>
  <c r="V78" i="83" s="1"/>
  <c r="E118" i="108"/>
  <c r="R31" i="81" l="1"/>
  <c r="U31" i="81"/>
  <c r="W164" i="153"/>
  <c r="T120" i="134"/>
  <c r="R120" i="134"/>
  <c r="Q121" i="134"/>
  <c r="T83" i="149"/>
  <c r="Q84" i="149"/>
  <c r="R83" i="149"/>
  <c r="T81" i="131"/>
  <c r="Q82" i="131"/>
  <c r="R81" i="131"/>
  <c r="E123" i="134"/>
  <c r="E49" i="81"/>
  <c r="Q49" i="81" s="1"/>
  <c r="G23" i="18"/>
  <c r="U70" i="140"/>
  <c r="V72" i="83"/>
  <c r="H23" i="18"/>
  <c r="U70" i="139"/>
  <c r="V70" i="83"/>
  <c r="V70" i="142"/>
  <c r="V75" i="83"/>
  <c r="J87" i="149"/>
  <c r="E84" i="147"/>
  <c r="J127" i="122"/>
  <c r="J109" i="122"/>
  <c r="J110" i="122" s="1"/>
  <c r="N107" i="122"/>
  <c r="N108" i="122" s="1"/>
  <c r="O107" i="122"/>
  <c r="O108" i="122" s="1"/>
  <c r="I107" i="122"/>
  <c r="I87" i="149" s="1"/>
  <c r="K107" i="122"/>
  <c r="K108" i="122" s="1"/>
  <c r="H127" i="125"/>
  <c r="L127" i="125"/>
  <c r="I127" i="125"/>
  <c r="O109" i="125"/>
  <c r="O110" i="125" s="1"/>
  <c r="K109" i="125"/>
  <c r="K110" i="125" s="1"/>
  <c r="N127" i="125"/>
  <c r="L109" i="126"/>
  <c r="L110" i="126" s="1"/>
  <c r="L127" i="126"/>
  <c r="O109" i="126"/>
  <c r="O110" i="126" s="1"/>
  <c r="O127" i="126"/>
  <c r="I127" i="126"/>
  <c r="I109" i="126"/>
  <c r="I110" i="126" s="1"/>
  <c r="N127" i="126"/>
  <c r="N109" i="126"/>
  <c r="N110" i="126" s="1"/>
  <c r="G148" i="147"/>
  <c r="G107" i="126" s="1"/>
  <c r="G108" i="126" s="1"/>
  <c r="G144" i="147"/>
  <c r="G147" i="147"/>
  <c r="G108" i="121" s="1"/>
  <c r="G109" i="121" s="1"/>
  <c r="G146" i="147"/>
  <c r="G107" i="125" s="1"/>
  <c r="G108" i="125" s="1"/>
  <c r="G109" i="125" s="1"/>
  <c r="G110" i="125" s="1"/>
  <c r="G145" i="147"/>
  <c r="G107" i="123" s="1"/>
  <c r="G108" i="123" s="1"/>
  <c r="G127" i="123" s="1"/>
  <c r="H127" i="126"/>
  <c r="H109" i="126"/>
  <c r="H110" i="126" s="1"/>
  <c r="M147" i="147"/>
  <c r="M108" i="121" s="1"/>
  <c r="M109" i="121" s="1"/>
  <c r="M146" i="147"/>
  <c r="M107" i="125" s="1"/>
  <c r="M108" i="125" s="1"/>
  <c r="M109" i="125" s="1"/>
  <c r="M110" i="125" s="1"/>
  <c r="M144" i="147"/>
  <c r="M145" i="147"/>
  <c r="M107" i="123" s="1"/>
  <c r="M108" i="123" s="1"/>
  <c r="M109" i="123" s="1"/>
  <c r="M110" i="123" s="1"/>
  <c r="M148" i="147"/>
  <c r="M107" i="126" s="1"/>
  <c r="M108" i="126" s="1"/>
  <c r="K127" i="126"/>
  <c r="K109" i="126"/>
  <c r="K110" i="126" s="1"/>
  <c r="K109" i="123"/>
  <c r="K110" i="123" s="1"/>
  <c r="P127" i="123"/>
  <c r="H127" i="123"/>
  <c r="I109" i="123"/>
  <c r="I110" i="123" s="1"/>
  <c r="P87" i="149"/>
  <c r="H87" i="149"/>
  <c r="N127" i="123"/>
  <c r="O127" i="123"/>
  <c r="L127" i="123"/>
  <c r="H109" i="122"/>
  <c r="H110" i="122" s="1"/>
  <c r="T158" i="141"/>
  <c r="Q159" i="141"/>
  <c r="L109" i="121"/>
  <c r="V70" i="90"/>
  <c r="Q158" i="90"/>
  <c r="Q70" i="83"/>
  <c r="W162" i="153" s="1"/>
  <c r="E158" i="83"/>
  <c r="E159" i="83" s="1"/>
  <c r="T69" i="127"/>
  <c r="R69" i="127"/>
  <c r="Q81" i="127"/>
  <c r="E37" i="81"/>
  <c r="E55" i="81"/>
  <c r="T69" i="130"/>
  <c r="R69" i="130"/>
  <c r="Q81" i="130"/>
  <c r="E132" i="148"/>
  <c r="E86" i="148"/>
  <c r="U71" i="147"/>
  <c r="Q83" i="147"/>
  <c r="Q118" i="108"/>
  <c r="W160" i="153" s="1"/>
  <c r="E130" i="108"/>
  <c r="T70" i="143"/>
  <c r="Q158" i="143"/>
  <c r="T96" i="121"/>
  <c r="R96" i="121"/>
  <c r="T70" i="140"/>
  <c r="U70" i="142"/>
  <c r="Q158" i="142"/>
  <c r="T70" i="139"/>
  <c r="Q158" i="139"/>
  <c r="Q91" i="132"/>
  <c r="W159" i="153" s="1"/>
  <c r="E103" i="132"/>
  <c r="Q98" i="135"/>
  <c r="U71" i="148"/>
  <c r="S71" i="148"/>
  <c r="Q83" i="148"/>
  <c r="R49" i="81" l="1"/>
  <c r="U49" i="81"/>
  <c r="Q123" i="134"/>
  <c r="T123" i="134" s="1"/>
  <c r="T121" i="134"/>
  <c r="R121" i="134"/>
  <c r="T82" i="131"/>
  <c r="R82" i="131"/>
  <c r="Q85" i="149"/>
  <c r="T85" i="149" s="1"/>
  <c r="T84" i="149"/>
  <c r="R84" i="149"/>
  <c r="E86" i="147"/>
  <c r="Q86" i="147" s="1"/>
  <c r="U86" i="147" s="1"/>
  <c r="E143" i="147"/>
  <c r="E146" i="147" s="1"/>
  <c r="E13" i="155"/>
  <c r="E44" i="18" s="1"/>
  <c r="N87" i="149"/>
  <c r="K87" i="149"/>
  <c r="O127" i="122"/>
  <c r="O109" i="122"/>
  <c r="O110" i="122" s="1"/>
  <c r="N109" i="122"/>
  <c r="N110" i="122" s="1"/>
  <c r="N127" i="122"/>
  <c r="O87" i="149"/>
  <c r="I108" i="122"/>
  <c r="M107" i="122"/>
  <c r="M87" i="149" s="1"/>
  <c r="G107" i="122"/>
  <c r="G108" i="122" s="1"/>
  <c r="G127" i="125"/>
  <c r="G127" i="126"/>
  <c r="G109" i="126"/>
  <c r="G110" i="126" s="1"/>
  <c r="M127" i="125"/>
  <c r="M109" i="126"/>
  <c r="M110" i="126" s="1"/>
  <c r="M127" i="126"/>
  <c r="M127" i="123"/>
  <c r="G109" i="123"/>
  <c r="G110" i="123" s="1"/>
  <c r="L108" i="122"/>
  <c r="L127" i="122" s="1"/>
  <c r="L87" i="149"/>
  <c r="E134" i="148"/>
  <c r="E133" i="148"/>
  <c r="T159" i="141"/>
  <c r="Q160" i="141"/>
  <c r="T160" i="141" s="1"/>
  <c r="V158" i="90"/>
  <c r="Q159" i="90"/>
  <c r="U158" i="142"/>
  <c r="Q159" i="142"/>
  <c r="T158" i="143"/>
  <c r="Q159" i="143"/>
  <c r="V118" i="108"/>
  <c r="S118" i="108"/>
  <c r="Q82" i="130"/>
  <c r="T81" i="130"/>
  <c r="R81" i="130"/>
  <c r="E160" i="83"/>
  <c r="E30" i="18"/>
  <c r="U83" i="148"/>
  <c r="S83" i="148"/>
  <c r="Q84" i="148"/>
  <c r="Q86" i="148"/>
  <c r="S91" i="132"/>
  <c r="R91" i="132"/>
  <c r="Q103" i="132"/>
  <c r="E18" i="18"/>
  <c r="E119" i="132"/>
  <c r="E104" i="132"/>
  <c r="E105" i="132" s="1"/>
  <c r="T158" i="139"/>
  <c r="U83" i="147"/>
  <c r="Q84" i="147"/>
  <c r="Q85" i="147" s="1"/>
  <c r="Q132" i="148"/>
  <c r="Q55" i="81"/>
  <c r="E63" i="81"/>
  <c r="E64" i="81" s="1"/>
  <c r="Q37" i="81"/>
  <c r="E45" i="81"/>
  <c r="E20" i="18" s="1"/>
  <c r="Q99" i="135"/>
  <c r="Q82" i="127"/>
  <c r="T81" i="127"/>
  <c r="R81" i="127"/>
  <c r="U70" i="83"/>
  <c r="E148" i="147" l="1"/>
  <c r="Q143" i="147"/>
  <c r="E144" i="147"/>
  <c r="E107" i="122" s="1"/>
  <c r="E108" i="122" s="1"/>
  <c r="E145" i="147"/>
  <c r="E107" i="123" s="1"/>
  <c r="E108" i="123" s="1"/>
  <c r="E147" i="147"/>
  <c r="E108" i="121" s="1"/>
  <c r="E47" i="18"/>
  <c r="G87" i="149"/>
  <c r="G109" i="122"/>
  <c r="G110" i="122" s="1"/>
  <c r="G127" i="122"/>
  <c r="M108" i="122"/>
  <c r="I109" i="122"/>
  <c r="I110" i="122" s="1"/>
  <c r="I127" i="122"/>
  <c r="E107" i="126"/>
  <c r="E107" i="125"/>
  <c r="E108" i="125" s="1"/>
  <c r="L109" i="122"/>
  <c r="L110" i="122" s="1"/>
  <c r="E135" i="148"/>
  <c r="V159" i="90"/>
  <c r="Q20" i="18"/>
  <c r="E25" i="18"/>
  <c r="Q25" i="18" s="1"/>
  <c r="S25" i="18" s="1"/>
  <c r="U37" i="81"/>
  <c r="Q45" i="81"/>
  <c r="Q18" i="18"/>
  <c r="X18" i="18" s="1"/>
  <c r="E23" i="18"/>
  <c r="Q23" i="18" s="1"/>
  <c r="U86" i="148"/>
  <c r="U159" i="142"/>
  <c r="Q160" i="142"/>
  <c r="U160" i="142" s="1"/>
  <c r="S103" i="132"/>
  <c r="R103" i="132"/>
  <c r="Q104" i="132"/>
  <c r="Q105" i="132" s="1"/>
  <c r="Q119" i="132"/>
  <c r="R82" i="130"/>
  <c r="T82" i="130"/>
  <c r="Q160" i="143"/>
  <c r="T160" i="143" s="1"/>
  <c r="T159" i="143"/>
  <c r="R82" i="127"/>
  <c r="T82" i="127"/>
  <c r="T99" i="135"/>
  <c r="U55" i="81"/>
  <c r="Q63" i="81"/>
  <c r="U85" i="147"/>
  <c r="U84" i="147"/>
  <c r="E109" i="124"/>
  <c r="E110" i="124" s="1"/>
  <c r="Q85" i="148"/>
  <c r="U85" i="148" s="1"/>
  <c r="U84" i="148"/>
  <c r="S84" i="148"/>
  <c r="M109" i="122" l="1"/>
  <c r="M110" i="122" s="1"/>
  <c r="M127" i="122"/>
  <c r="E87" i="149"/>
  <c r="E108" i="126"/>
  <c r="E109" i="125"/>
  <c r="E110" i="125" s="1"/>
  <c r="E127" i="125"/>
  <c r="E109" i="123"/>
  <c r="E110" i="123" s="1"/>
  <c r="E127" i="123"/>
  <c r="S20" i="18"/>
  <c r="E136" i="148"/>
  <c r="E127" i="122"/>
  <c r="E109" i="122"/>
  <c r="E110" i="122" s="1"/>
  <c r="E109" i="121"/>
  <c r="R63" i="81"/>
  <c r="Q64" i="81"/>
  <c r="U64" i="81" s="1"/>
  <c r="U63" i="81"/>
  <c r="S18" i="18"/>
  <c r="R45" i="81"/>
  <c r="U45" i="81"/>
  <c r="E127" i="126" l="1"/>
  <c r="E109" i="126"/>
  <c r="E110" i="126" s="1"/>
  <c r="S23" i="18"/>
  <c r="K183" i="83" l="1"/>
  <c r="Q183" i="83" s="1"/>
  <c r="Q183" i="139"/>
  <c r="Q177" i="139"/>
  <c r="K177" i="83"/>
  <c r="Q181" i="139"/>
  <c r="K181" i="83"/>
  <c r="Q181" i="83" s="1"/>
  <c r="K178" i="83"/>
  <c r="Q178" i="83" s="1"/>
  <c r="Q178" i="139"/>
  <c r="Q177" i="83" l="1"/>
  <c r="T178" i="139"/>
  <c r="U181" i="83"/>
  <c r="T177" i="139"/>
  <c r="K179" i="83"/>
  <c r="Q179" i="83" s="1"/>
  <c r="Q179" i="139"/>
  <c r="U178" i="83"/>
  <c r="Q184" i="139"/>
  <c r="K184" i="83"/>
  <c r="Q184" i="83" s="1"/>
  <c r="K182" i="83"/>
  <c r="Q182" i="83" s="1"/>
  <c r="Q182" i="139"/>
  <c r="T181" i="139"/>
  <c r="T183" i="139"/>
  <c r="Q180" i="139"/>
  <c r="K180" i="83"/>
  <c r="Q180" i="83" s="1"/>
  <c r="K195" i="139"/>
  <c r="K12" i="139" s="1"/>
  <c r="U183" i="83"/>
  <c r="K36" i="122"/>
  <c r="Q151" i="122"/>
  <c r="K191" i="108"/>
  <c r="Q152" i="122"/>
  <c r="R152" i="122" s="1"/>
  <c r="K192" i="108"/>
  <c r="Q192" i="108" s="1"/>
  <c r="Q185" i="139" l="1"/>
  <c r="T185" i="139" s="1"/>
  <c r="Q12" i="139"/>
  <c r="Q13" i="83" s="1"/>
  <c r="K159" i="139"/>
  <c r="K160" i="139" s="1"/>
  <c r="U182" i="83"/>
  <c r="U180" i="83"/>
  <c r="U184" i="83"/>
  <c r="T179" i="139"/>
  <c r="T180" i="139"/>
  <c r="T184" i="139"/>
  <c r="U179" i="83"/>
  <c r="K185" i="83"/>
  <c r="T182" i="139"/>
  <c r="U177" i="83"/>
  <c r="Q185" i="83"/>
  <c r="Q202" i="83" s="1"/>
  <c r="K193" i="108"/>
  <c r="Q191" i="108"/>
  <c r="Q153" i="122"/>
  <c r="R151" i="122"/>
  <c r="V192" i="108"/>
  <c r="S192" i="108"/>
  <c r="Q36" i="122"/>
  <c r="K109" i="122"/>
  <c r="K110" i="122" s="1"/>
  <c r="K127" i="122"/>
  <c r="K196" i="83" l="1"/>
  <c r="K12" i="83" s="1"/>
  <c r="K159" i="83" s="1"/>
  <c r="K199" i="83"/>
  <c r="Q195" i="139"/>
  <c r="T195" i="139" s="1"/>
  <c r="Q196" i="83"/>
  <c r="Q203" i="83" s="1"/>
  <c r="U185" i="83"/>
  <c r="T12" i="139"/>
  <c r="Q159" i="139"/>
  <c r="R153" i="122"/>
  <c r="Q163" i="122"/>
  <c r="Q164" i="122" s="1"/>
  <c r="V191" i="108"/>
  <c r="S191" i="108"/>
  <c r="Q193" i="108"/>
  <c r="Q209" i="108" s="1"/>
  <c r="Q72" i="18" s="1"/>
  <c r="Q199" i="83" l="1"/>
  <c r="Q197" i="83"/>
  <c r="R163" i="122"/>
  <c r="Q12" i="83"/>
  <c r="U12" i="83" s="1"/>
  <c r="T159" i="139"/>
  <c r="Q160" i="139"/>
  <c r="T160" i="139" s="1"/>
  <c r="K160" i="83"/>
  <c r="K30" i="18"/>
  <c r="U196" i="83"/>
  <c r="S193" i="108"/>
  <c r="V193" i="108"/>
  <c r="L34" i="18" l="1"/>
  <c r="L35" i="18" s="1"/>
  <c r="P34" i="18"/>
  <c r="P35" i="18" s="1"/>
  <c r="K34" i="18"/>
  <c r="K35" i="18" s="1"/>
  <c r="O34" i="18"/>
  <c r="O35" i="18" s="1"/>
  <c r="F34" i="18"/>
  <c r="N34" i="18"/>
  <c r="N35" i="18" s="1"/>
  <c r="E34" i="18"/>
  <c r="J34" i="18"/>
  <c r="J35" i="18" s="1"/>
  <c r="M34" i="18"/>
  <c r="M35" i="18" s="1"/>
  <c r="H34" i="18"/>
  <c r="H35" i="18" s="1"/>
  <c r="I34" i="18"/>
  <c r="I35" i="18" s="1"/>
  <c r="G34" i="18"/>
  <c r="G35" i="18" s="1"/>
  <c r="Q34" i="18" l="1"/>
  <c r="E35" i="18"/>
  <c r="E40" i="18" l="1"/>
  <c r="E25" i="155"/>
  <c r="Q13" i="122" l="1"/>
  <c r="Q121" i="122" s="1"/>
  <c r="F121" i="122"/>
  <c r="F17" i="122"/>
  <c r="F31" i="122" s="1"/>
  <c r="F27" i="122" l="1"/>
  <c r="F28" i="122" s="1"/>
  <c r="F130" i="147" s="1"/>
  <c r="F13" i="108"/>
  <c r="Q13" i="108" s="1"/>
  <c r="F129" i="148"/>
  <c r="Q17" i="122"/>
  <c r="F125" i="122"/>
  <c r="F129" i="147" l="1"/>
  <c r="Q130" i="147"/>
  <c r="Q27" i="122"/>
  <c r="Q28" i="122" s="1"/>
  <c r="F49" i="108"/>
  <c r="Q49" i="108" s="1"/>
  <c r="V49" i="108" s="1"/>
  <c r="F27" i="108"/>
  <c r="F165" i="108" s="1"/>
  <c r="F152" i="108"/>
  <c r="Q125" i="122"/>
  <c r="R12" i="122"/>
  <c r="F128" i="148"/>
  <c r="F134" i="148" s="1"/>
  <c r="Q129" i="148"/>
  <c r="F34" i="122"/>
  <c r="Q31" i="122"/>
  <c r="F53" i="108"/>
  <c r="Q27" i="108"/>
  <c r="V13" i="108"/>
  <c r="Q152" i="108"/>
  <c r="V152" i="108" s="1"/>
  <c r="Q129" i="147" l="1"/>
  <c r="F139" i="147"/>
  <c r="F141" i="147"/>
  <c r="F140" i="147"/>
  <c r="F138" i="147"/>
  <c r="F137" i="147"/>
  <c r="Q137" i="147" s="1"/>
  <c r="F144" i="147"/>
  <c r="F50" i="108"/>
  <c r="F133" i="148"/>
  <c r="R77" i="122"/>
  <c r="F100" i="108"/>
  <c r="Q100" i="108" s="1"/>
  <c r="Q50" i="108"/>
  <c r="V27" i="108"/>
  <c r="Q165" i="108"/>
  <c r="V165" i="108" s="1"/>
  <c r="F65" i="108"/>
  <c r="Q134" i="148"/>
  <c r="Q128" i="148"/>
  <c r="F81" i="108"/>
  <c r="Q81" i="108" s="1"/>
  <c r="R58" i="122"/>
  <c r="R63" i="122"/>
  <c r="F86" i="108"/>
  <c r="Q86" i="108" s="1"/>
  <c r="F77" i="108"/>
  <c r="Q77" i="108" s="1"/>
  <c r="R54" i="122"/>
  <c r="F83" i="108"/>
  <c r="Q83" i="108" s="1"/>
  <c r="R60" i="122"/>
  <c r="R47" i="122"/>
  <c r="F70" i="108"/>
  <c r="R31" i="122"/>
  <c r="Q34" i="122"/>
  <c r="R64" i="122"/>
  <c r="F87" i="108"/>
  <c r="Q87" i="108" s="1"/>
  <c r="F85" i="108"/>
  <c r="Q85" i="108" s="1"/>
  <c r="R62" i="122"/>
  <c r="F57" i="108"/>
  <c r="Q53" i="108"/>
  <c r="F69" i="108"/>
  <c r="Q69" i="108" s="1"/>
  <c r="R46" i="122"/>
  <c r="F84" i="108"/>
  <c r="Q84" i="108" s="1"/>
  <c r="R61" i="122"/>
  <c r="R36" i="122"/>
  <c r="Q138" i="147" l="1"/>
  <c r="F145" i="147"/>
  <c r="Q140" i="147"/>
  <c r="F147" i="147"/>
  <c r="Q141" i="147"/>
  <c r="F148" i="147"/>
  <c r="Q139" i="147"/>
  <c r="F146" i="147"/>
  <c r="F107" i="122"/>
  <c r="Q107" i="122" s="1"/>
  <c r="Q144" i="147"/>
  <c r="F12" i="18"/>
  <c r="F16" i="18" s="1"/>
  <c r="F109" i="124"/>
  <c r="F110" i="124" s="1"/>
  <c r="V100" i="108"/>
  <c r="S100" i="108"/>
  <c r="F135" i="148"/>
  <c r="V85" i="108"/>
  <c r="S85" i="108"/>
  <c r="Q133" i="148"/>
  <c r="R42" i="122"/>
  <c r="F130" i="108"/>
  <c r="Q65" i="108"/>
  <c r="S83" i="108"/>
  <c r="V83" i="108"/>
  <c r="R34" i="122"/>
  <c r="V77" i="108"/>
  <c r="S77" i="108"/>
  <c r="Q70" i="108"/>
  <c r="V87" i="108"/>
  <c r="S87" i="108"/>
  <c r="V86" i="108"/>
  <c r="S86" i="108"/>
  <c r="S69" i="108"/>
  <c r="V69" i="108"/>
  <c r="R12" i="149"/>
  <c r="S49" i="108"/>
  <c r="S12" i="148"/>
  <c r="V50" i="108"/>
  <c r="S84" i="108"/>
  <c r="V84" i="108"/>
  <c r="Q57" i="108"/>
  <c r="S53" i="108"/>
  <c r="V53" i="108"/>
  <c r="S81" i="108"/>
  <c r="V81" i="108"/>
  <c r="F107" i="126" l="1"/>
  <c r="Q148" i="147"/>
  <c r="F107" i="125"/>
  <c r="Q146" i="147"/>
  <c r="F108" i="121"/>
  <c r="Q108" i="121" s="1"/>
  <c r="Q147" i="147"/>
  <c r="F27" i="91"/>
  <c r="F87" i="140"/>
  <c r="F107" i="123"/>
  <c r="Q107" i="123" s="1"/>
  <c r="T107" i="123" s="1"/>
  <c r="Q145" i="147"/>
  <c r="Q12" i="18"/>
  <c r="Q16" i="18" s="1"/>
  <c r="F150" i="93"/>
  <c r="F196" i="153"/>
  <c r="Q196" i="153" s="1"/>
  <c r="U196" i="153" s="1"/>
  <c r="F20" i="155"/>
  <c r="F14" i="155"/>
  <c r="F108" i="123"/>
  <c r="F127" i="123" s="1"/>
  <c r="Q107" i="124"/>
  <c r="R107" i="124" s="1"/>
  <c r="F136" i="148"/>
  <c r="Q136" i="148" s="1"/>
  <c r="Q135" i="148"/>
  <c r="Q130" i="108"/>
  <c r="S65" i="108"/>
  <c r="V65" i="108"/>
  <c r="S57" i="108"/>
  <c r="V57" i="108"/>
  <c r="V70" i="108"/>
  <c r="S70" i="108"/>
  <c r="F28" i="91" l="1"/>
  <c r="Q27" i="91"/>
  <c r="F108" i="125"/>
  <c r="Q107" i="125"/>
  <c r="F108" i="126"/>
  <c r="Q107" i="126"/>
  <c r="R14" i="91"/>
  <c r="R17" i="91"/>
  <c r="R13" i="91"/>
  <c r="R15" i="91"/>
  <c r="R18" i="91"/>
  <c r="R16" i="91"/>
  <c r="F109" i="123"/>
  <c r="F110" i="123" s="1"/>
  <c r="Q108" i="124"/>
  <c r="T108" i="124" s="1"/>
  <c r="T107" i="124"/>
  <c r="S58" i="90"/>
  <c r="S59" i="90"/>
  <c r="S57" i="90"/>
  <c r="S60" i="90"/>
  <c r="S56" i="90"/>
  <c r="F87" i="149"/>
  <c r="Q108" i="123"/>
  <c r="Q127" i="123" s="1"/>
  <c r="T127" i="123" s="1"/>
  <c r="R107" i="123"/>
  <c r="S12" i="18"/>
  <c r="R170" i="93"/>
  <c r="S169" i="153"/>
  <c r="T169" i="153" s="1"/>
  <c r="S170" i="153"/>
  <c r="T170" i="153" s="1"/>
  <c r="R171" i="93"/>
  <c r="S171" i="90"/>
  <c r="R172" i="143"/>
  <c r="S172" i="90"/>
  <c r="R173" i="83"/>
  <c r="S172" i="142"/>
  <c r="R171" i="143"/>
  <c r="S171" i="142"/>
  <c r="R171" i="140"/>
  <c r="R172" i="140"/>
  <c r="R172" i="139"/>
  <c r="R171" i="139"/>
  <c r="F108" i="122"/>
  <c r="F127" i="122" s="1"/>
  <c r="Q14" i="155"/>
  <c r="F39" i="18"/>
  <c r="F87" i="83"/>
  <c r="Q87" i="140"/>
  <c r="F158" i="140"/>
  <c r="F159" i="140" s="1"/>
  <c r="F160" i="140" s="1"/>
  <c r="Q150" i="93"/>
  <c r="F32" i="18"/>
  <c r="Q32" i="18" s="1"/>
  <c r="F157" i="93"/>
  <c r="F158" i="93" s="1"/>
  <c r="F31" i="18" s="1"/>
  <c r="Q31" i="18" s="1"/>
  <c r="F60" i="18"/>
  <c r="Q60" i="18" s="1"/>
  <c r="S60" i="18" s="1"/>
  <c r="Q20" i="155"/>
  <c r="R12" i="139"/>
  <c r="R183" i="83"/>
  <c r="R70" i="83"/>
  <c r="R168" i="83"/>
  <c r="R61" i="93"/>
  <c r="R45" i="154"/>
  <c r="R112" i="154"/>
  <c r="R167" i="93"/>
  <c r="S71" i="142"/>
  <c r="R136" i="139"/>
  <c r="S72" i="142"/>
  <c r="S181" i="90"/>
  <c r="R113" i="93"/>
  <c r="R37" i="83"/>
  <c r="R189" i="143"/>
  <c r="R177" i="93"/>
  <c r="R81" i="93"/>
  <c r="R21" i="83"/>
  <c r="S36" i="90"/>
  <c r="S192" i="153"/>
  <c r="T192" i="153" s="1"/>
  <c r="R52" i="93"/>
  <c r="R177" i="143"/>
  <c r="R100" i="143"/>
  <c r="R65" i="83"/>
  <c r="R140" i="83"/>
  <c r="R114" i="93"/>
  <c r="R26" i="143"/>
  <c r="R173" i="93"/>
  <c r="R96" i="139"/>
  <c r="R136" i="83"/>
  <c r="R73" i="139"/>
  <c r="R61" i="154"/>
  <c r="R187" i="83"/>
  <c r="S127" i="90"/>
  <c r="R120" i="143"/>
  <c r="S51" i="142"/>
  <c r="R72" i="83"/>
  <c r="S71" i="90"/>
  <c r="R97" i="93"/>
  <c r="R181" i="154"/>
  <c r="S95" i="142"/>
  <c r="S74" i="142"/>
  <c r="R130" i="143"/>
  <c r="R185" i="83"/>
  <c r="R177" i="139"/>
  <c r="R158" i="143"/>
  <c r="R174" i="93"/>
  <c r="R177" i="154"/>
  <c r="R53" i="143"/>
  <c r="R133" i="93"/>
  <c r="R123" i="83"/>
  <c r="R175" i="143"/>
  <c r="S46" i="142"/>
  <c r="R126" i="139"/>
  <c r="R62" i="143"/>
  <c r="S180" i="142"/>
  <c r="R93" i="93"/>
  <c r="R106" i="139"/>
  <c r="R60" i="140"/>
  <c r="R167" i="154"/>
  <c r="S55" i="90"/>
  <c r="R72" i="139"/>
  <c r="R91" i="139"/>
  <c r="R105" i="83"/>
  <c r="R128" i="143"/>
  <c r="R46" i="139"/>
  <c r="R110" i="140"/>
  <c r="S43" i="90"/>
  <c r="R151" i="93"/>
  <c r="R86" i="140"/>
  <c r="S133" i="142"/>
  <c r="R43" i="140"/>
  <c r="R96" i="83"/>
  <c r="S127" i="142"/>
  <c r="R169" i="139"/>
  <c r="R24" i="143"/>
  <c r="S68" i="90"/>
  <c r="S154" i="142"/>
  <c r="R47" i="140"/>
  <c r="R156" i="83"/>
  <c r="R115" i="83"/>
  <c r="R108" i="143"/>
  <c r="R138" i="93"/>
  <c r="R106" i="83"/>
  <c r="R26" i="139"/>
  <c r="R97" i="143"/>
  <c r="R32" i="143"/>
  <c r="R126" i="83"/>
  <c r="R154" i="83"/>
  <c r="S25" i="90"/>
  <c r="R41" i="93"/>
  <c r="R135" i="83"/>
  <c r="R124" i="140"/>
  <c r="S34" i="18"/>
  <c r="R185" i="139"/>
  <c r="R181" i="83"/>
  <c r="S158" i="142"/>
  <c r="S156" i="142"/>
  <c r="R142" i="143"/>
  <c r="S139" i="142"/>
  <c r="R170" i="154"/>
  <c r="R165" i="139"/>
  <c r="R142" i="139"/>
  <c r="R178" i="154"/>
  <c r="S38" i="90"/>
  <c r="R80" i="83"/>
  <c r="S178" i="90"/>
  <c r="R144" i="83"/>
  <c r="R37" i="140"/>
  <c r="R81" i="83"/>
  <c r="R85" i="143"/>
  <c r="R46" i="83"/>
  <c r="R93" i="140"/>
  <c r="R25" i="83"/>
  <c r="R78" i="140"/>
  <c r="R38" i="139"/>
  <c r="R142" i="140"/>
  <c r="R157" i="154"/>
  <c r="S82" i="90"/>
  <c r="R163" i="154"/>
  <c r="R44" i="93"/>
  <c r="R66" i="83"/>
  <c r="R137" i="93"/>
  <c r="R134" i="83"/>
  <c r="S117" i="90"/>
  <c r="S53" i="142"/>
  <c r="S116" i="142"/>
  <c r="R129" i="143"/>
  <c r="R191" i="139"/>
  <c r="S164" i="142"/>
  <c r="S185" i="90"/>
  <c r="S95" i="90"/>
  <c r="R104" i="143"/>
  <c r="S195" i="142"/>
  <c r="R60" i="154"/>
  <c r="R146" i="139"/>
  <c r="S76" i="142"/>
  <c r="S175" i="90"/>
  <c r="R49" i="83"/>
  <c r="R69" i="143"/>
  <c r="R146" i="93"/>
  <c r="R119" i="83"/>
  <c r="R28" i="143"/>
  <c r="R117" i="139"/>
  <c r="R79" i="140"/>
  <c r="R38" i="93"/>
  <c r="S88" i="90"/>
  <c r="R116" i="140"/>
  <c r="R138" i="139"/>
  <c r="R182" i="139"/>
  <c r="R178" i="83"/>
  <c r="R70" i="139"/>
  <c r="S193" i="153"/>
  <c r="T193" i="153" s="1"/>
  <c r="R90" i="139"/>
  <c r="R23" i="140"/>
  <c r="S27" i="142"/>
  <c r="R102" i="139"/>
  <c r="S168" i="142"/>
  <c r="R49" i="154"/>
  <c r="R125" i="143"/>
  <c r="R31" i="93"/>
  <c r="S12" i="142"/>
  <c r="R108" i="83"/>
  <c r="R168" i="93"/>
  <c r="R143" i="140"/>
  <c r="R48" i="83"/>
  <c r="R146" i="83"/>
  <c r="S84" i="90"/>
  <c r="R182" i="140"/>
  <c r="R137" i="83"/>
  <c r="R33" i="83"/>
  <c r="R122" i="93"/>
  <c r="S85" i="142"/>
  <c r="R29" i="83"/>
  <c r="R82" i="93"/>
  <c r="R165" i="83"/>
  <c r="S15" i="18"/>
  <c r="S74" i="90"/>
  <c r="R144" i="154"/>
  <c r="R96" i="93"/>
  <c r="R191" i="154"/>
  <c r="R37" i="154"/>
  <c r="R83" i="140"/>
  <c r="R62" i="83"/>
  <c r="R82" i="139"/>
  <c r="S135" i="142"/>
  <c r="S108" i="142"/>
  <c r="R146" i="143"/>
  <c r="R64" i="154"/>
  <c r="R169" i="143"/>
  <c r="R90" i="83"/>
  <c r="R138" i="143"/>
  <c r="R138" i="83"/>
  <c r="R50" i="83"/>
  <c r="R192" i="93"/>
  <c r="S177" i="142"/>
  <c r="S92" i="90"/>
  <c r="R91" i="83"/>
  <c r="R17" i="140"/>
  <c r="S52" i="142"/>
  <c r="S106" i="142"/>
  <c r="S175" i="153"/>
  <c r="T175" i="153" s="1"/>
  <c r="S155" i="142"/>
  <c r="R166" i="140"/>
  <c r="R179" i="83"/>
  <c r="R183" i="139"/>
  <c r="R70" i="143"/>
  <c r="R131" i="83"/>
  <c r="R136" i="140"/>
  <c r="S126" i="142"/>
  <c r="S111" i="142"/>
  <c r="R64" i="83"/>
  <c r="S130" i="90"/>
  <c r="R23" i="83"/>
  <c r="R132" i="154"/>
  <c r="S185" i="142"/>
  <c r="R33" i="154"/>
  <c r="R77" i="143"/>
  <c r="R127" i="93"/>
  <c r="S166" i="142"/>
  <c r="R154" i="154"/>
  <c r="R112" i="140"/>
  <c r="R166" i="143"/>
  <c r="R40" i="154"/>
  <c r="R19" i="140"/>
  <c r="R78" i="154"/>
  <c r="R194" i="139"/>
  <c r="S24" i="90"/>
  <c r="S189" i="153"/>
  <c r="T189" i="153" s="1"/>
  <c r="R76" i="83"/>
  <c r="S135" i="90"/>
  <c r="S175" i="142"/>
  <c r="R169" i="140"/>
  <c r="S76" i="90"/>
  <c r="R118" i="139"/>
  <c r="S82" i="142"/>
  <c r="R190" i="143"/>
  <c r="R130" i="139"/>
  <c r="R113" i="143"/>
  <c r="R106" i="143"/>
  <c r="R16" i="83"/>
  <c r="R63" i="140"/>
  <c r="R76" i="139"/>
  <c r="R147" i="143"/>
  <c r="R179" i="139"/>
  <c r="R178" i="139"/>
  <c r="R70" i="140"/>
  <c r="R155" i="83"/>
  <c r="S162" i="153"/>
  <c r="T162" i="153" s="1"/>
  <c r="R54" i="139"/>
  <c r="R128" i="139"/>
  <c r="R85" i="93"/>
  <c r="R166" i="83"/>
  <c r="R151" i="143"/>
  <c r="R29" i="154"/>
  <c r="R88" i="83"/>
  <c r="R168" i="139"/>
  <c r="S114" i="90"/>
  <c r="R19" i="155"/>
  <c r="R185" i="143"/>
  <c r="R191" i="83"/>
  <c r="S98" i="90"/>
  <c r="R148" i="154"/>
  <c r="S167" i="153"/>
  <c r="T167" i="153" s="1"/>
  <c r="S192" i="90"/>
  <c r="S90" i="90"/>
  <c r="R21" i="155"/>
  <c r="R12" i="154"/>
  <c r="R97" i="83"/>
  <c r="S190" i="142"/>
  <c r="S72" i="90"/>
  <c r="S166" i="153"/>
  <c r="T166" i="153" s="1"/>
  <c r="R176" i="154"/>
  <c r="R140" i="143"/>
  <c r="S171" i="153"/>
  <c r="T171" i="153" s="1"/>
  <c r="S193" i="142"/>
  <c r="R142" i="83"/>
  <c r="R45" i="93"/>
  <c r="R71" i="83"/>
  <c r="R121" i="139"/>
  <c r="R50" i="93"/>
  <c r="R182" i="83"/>
  <c r="R181" i="139"/>
  <c r="R70" i="93"/>
  <c r="S169" i="90"/>
  <c r="S87" i="142"/>
  <c r="R173" i="139"/>
  <c r="S131" i="90"/>
  <c r="R168" i="140"/>
  <c r="S139" i="90"/>
  <c r="S170" i="90"/>
  <c r="S45" i="18"/>
  <c r="R58" i="83"/>
  <c r="R106" i="93"/>
  <c r="R141" i="154"/>
  <c r="R165" i="93"/>
  <c r="R147" i="83"/>
  <c r="R42" i="93"/>
  <c r="R44" i="154"/>
  <c r="R164" i="154"/>
  <c r="R166" i="154"/>
  <c r="S39" i="90"/>
  <c r="R52" i="154"/>
  <c r="S13" i="18"/>
  <c r="R25" i="93"/>
  <c r="R68" i="143"/>
  <c r="S75" i="142"/>
  <c r="R195" i="83"/>
  <c r="R129" i="83"/>
  <c r="R66" i="93"/>
  <c r="R170" i="143"/>
  <c r="R113" i="83"/>
  <c r="S168" i="90"/>
  <c r="R194" i="83"/>
  <c r="R104" i="83"/>
  <c r="R84" i="140"/>
  <c r="R78" i="83"/>
  <c r="S51" i="90"/>
  <c r="R84" i="139"/>
  <c r="S62" i="142"/>
  <c r="S43" i="18"/>
  <c r="R156" i="154"/>
  <c r="S31" i="142"/>
  <c r="R177" i="83"/>
  <c r="S159" i="90"/>
  <c r="R56" i="83"/>
  <c r="R59" i="140"/>
  <c r="R38" i="83"/>
  <c r="S168" i="153"/>
  <c r="T168" i="153" s="1"/>
  <c r="R20" i="83"/>
  <c r="R176" i="93"/>
  <c r="R45" i="143"/>
  <c r="S131" i="142"/>
  <c r="R32" i="154"/>
  <c r="R110" i="83"/>
  <c r="S107" i="90"/>
  <c r="S142" i="90"/>
  <c r="R163" i="93"/>
  <c r="R42" i="83"/>
  <c r="S75" i="90"/>
  <c r="S110" i="90"/>
  <c r="R195" i="140"/>
  <c r="R73" i="83"/>
  <c r="S40" i="90"/>
  <c r="S96" i="90"/>
  <c r="S194" i="90"/>
  <c r="S148" i="142"/>
  <c r="S37" i="90"/>
  <c r="S38" i="142"/>
  <c r="S195" i="90"/>
  <c r="R101" i="93"/>
  <c r="S174" i="142"/>
  <c r="R29" i="93"/>
  <c r="R178" i="93"/>
  <c r="R173" i="154"/>
  <c r="R12" i="83"/>
  <c r="R180" i="83"/>
  <c r="R159" i="143"/>
  <c r="S70" i="142"/>
  <c r="R145" i="83"/>
  <c r="R89" i="83"/>
  <c r="R103" i="139"/>
  <c r="R82" i="83"/>
  <c r="R97" i="154"/>
  <c r="R126" i="143"/>
  <c r="S19" i="142"/>
  <c r="R122" i="154"/>
  <c r="S192" i="142"/>
  <c r="R37" i="143"/>
  <c r="S123" i="142"/>
  <c r="R153" i="83"/>
  <c r="R182" i="93"/>
  <c r="R29" i="143"/>
  <c r="S115" i="142"/>
  <c r="R175" i="139"/>
  <c r="R99" i="83"/>
  <c r="R21" i="143"/>
  <c r="S91" i="142"/>
  <c r="R41" i="83"/>
  <c r="R81" i="154"/>
  <c r="R72" i="140"/>
  <c r="S61" i="90"/>
  <c r="R184" i="93"/>
  <c r="R174" i="139"/>
  <c r="R145" i="143"/>
  <c r="R100" i="140"/>
  <c r="S189" i="142"/>
  <c r="S43" i="142"/>
  <c r="R195" i="139"/>
  <c r="R184" i="139"/>
  <c r="S159" i="142"/>
  <c r="S33" i="18"/>
  <c r="R18" i="83"/>
  <c r="R120" i="154"/>
  <c r="S183" i="153"/>
  <c r="T183" i="153" s="1"/>
  <c r="R107" i="140"/>
  <c r="S47" i="142"/>
  <c r="R31" i="140"/>
  <c r="S115" i="90"/>
  <c r="S42" i="142"/>
  <c r="R61" i="143"/>
  <c r="R28" i="154"/>
  <c r="R110" i="143"/>
  <c r="R20" i="143"/>
  <c r="R194" i="93"/>
  <c r="R36" i="154"/>
  <c r="R94" i="143"/>
  <c r="S165" i="142"/>
  <c r="R140" i="93"/>
  <c r="R78" i="143"/>
  <c r="S140" i="142"/>
  <c r="S177" i="90"/>
  <c r="R75" i="140"/>
  <c r="R93" i="83"/>
  <c r="R12" i="140"/>
  <c r="R65" i="154"/>
  <c r="R77" i="93"/>
  <c r="R80" i="140"/>
  <c r="R184" i="143"/>
  <c r="R94" i="83"/>
  <c r="S64" i="90"/>
  <c r="R109" i="154"/>
  <c r="S176" i="153"/>
  <c r="T176" i="153" s="1"/>
  <c r="S194" i="142"/>
  <c r="R145" i="154"/>
  <c r="S67" i="142"/>
  <c r="S110" i="142"/>
  <c r="R122" i="83"/>
  <c r="S41" i="90"/>
  <c r="R65" i="93"/>
  <c r="S152" i="90"/>
  <c r="R168" i="154"/>
  <c r="R156" i="139"/>
  <c r="R89" i="154"/>
  <c r="R62" i="93"/>
  <c r="S44" i="90"/>
  <c r="R25" i="140"/>
  <c r="R32" i="140"/>
  <c r="R139" i="140"/>
  <c r="R119" i="93"/>
  <c r="R128" i="154"/>
  <c r="R42" i="139"/>
  <c r="R84" i="143"/>
  <c r="R129" i="140"/>
  <c r="R159" i="139"/>
  <c r="R184" i="83"/>
  <c r="R158" i="139"/>
  <c r="S70" i="90"/>
  <c r="R175" i="154"/>
  <c r="R21" i="93"/>
  <c r="S184" i="142"/>
  <c r="R27" i="143"/>
  <c r="R63" i="154"/>
  <c r="R55" i="83"/>
  <c r="R104" i="140"/>
  <c r="R98" i="139"/>
  <c r="S130" i="142"/>
  <c r="R141" i="143"/>
  <c r="S142" i="142"/>
  <c r="R109" i="93"/>
  <c r="R194" i="140"/>
  <c r="R148" i="140"/>
  <c r="S54" i="142"/>
  <c r="S114" i="142"/>
  <c r="S173" i="153"/>
  <c r="T173" i="153" s="1"/>
  <c r="S147" i="90"/>
  <c r="R16" i="140"/>
  <c r="R128" i="140"/>
  <c r="S164" i="153"/>
  <c r="T164" i="153" s="1"/>
  <c r="S181" i="142"/>
  <c r="R94" i="139"/>
  <c r="S79" i="90"/>
  <c r="R166" i="139"/>
  <c r="S102" i="90"/>
  <c r="R148" i="139"/>
  <c r="R52" i="83"/>
  <c r="R55" i="140"/>
  <c r="R169" i="83"/>
  <c r="S103" i="90"/>
  <c r="R148" i="93"/>
  <c r="R193" i="93"/>
  <c r="R188" i="154"/>
  <c r="S174" i="90"/>
  <c r="R133" i="83"/>
  <c r="R71" i="140"/>
  <c r="S120" i="142"/>
  <c r="R101" i="154"/>
  <c r="R49" i="93"/>
  <c r="R192" i="140"/>
  <c r="R96" i="143"/>
  <c r="R148" i="83"/>
  <c r="S45" i="90"/>
  <c r="R147" i="139"/>
  <c r="S187" i="142"/>
  <c r="S100" i="90"/>
  <c r="R108" i="154"/>
  <c r="R28" i="83"/>
  <c r="R27" i="83"/>
  <c r="R115" i="140"/>
  <c r="R31" i="143"/>
  <c r="R190" i="93"/>
  <c r="R68" i="154"/>
  <c r="R140" i="139"/>
  <c r="S47" i="90"/>
  <c r="R81" i="139"/>
  <c r="R193" i="139"/>
  <c r="S149" i="90"/>
  <c r="R104" i="93"/>
  <c r="R154" i="143"/>
  <c r="S155" i="90"/>
  <c r="R139" i="139"/>
  <c r="R106" i="140"/>
  <c r="R187" i="140"/>
  <c r="R66" i="154"/>
  <c r="R45" i="83"/>
  <c r="S123" i="90"/>
  <c r="R155" i="139"/>
  <c r="R109" i="140"/>
  <c r="R188" i="140"/>
  <c r="R82" i="154"/>
  <c r="R149" i="154"/>
  <c r="R101" i="143"/>
  <c r="R141" i="139"/>
  <c r="R119" i="140"/>
  <c r="S18" i="142"/>
  <c r="R164" i="139"/>
  <c r="R43" i="139"/>
  <c r="R28" i="139"/>
  <c r="S93" i="90"/>
  <c r="S50" i="90"/>
  <c r="R75" i="154"/>
  <c r="R48" i="154"/>
  <c r="R134" i="154"/>
  <c r="S34" i="142"/>
  <c r="R149" i="139"/>
  <c r="R135" i="140"/>
  <c r="S26" i="142"/>
  <c r="R124" i="93"/>
  <c r="R82" i="143"/>
  <c r="S78" i="90"/>
  <c r="R111" i="139"/>
  <c r="R190" i="139"/>
  <c r="R59" i="93"/>
  <c r="R95" i="93"/>
  <c r="R133" i="154"/>
  <c r="R148" i="143"/>
  <c r="R65" i="140"/>
  <c r="R130" i="140"/>
  <c r="S73" i="142"/>
  <c r="R30" i="154"/>
  <c r="R108" i="139"/>
  <c r="R64" i="139"/>
  <c r="R185" i="140"/>
  <c r="R65" i="139"/>
  <c r="S113" i="90"/>
  <c r="S85" i="90"/>
  <c r="R88" i="93"/>
  <c r="R175" i="83"/>
  <c r="R128" i="83"/>
  <c r="R69" i="83"/>
  <c r="R153" i="143"/>
  <c r="S48" i="90"/>
  <c r="R190" i="154"/>
  <c r="R118" i="83"/>
  <c r="S15" i="142"/>
  <c r="R90" i="143"/>
  <c r="R75" i="139"/>
  <c r="R139" i="93"/>
  <c r="S148" i="90"/>
  <c r="R149" i="143"/>
  <c r="R180" i="93"/>
  <c r="R119" i="139"/>
  <c r="R79" i="143"/>
  <c r="S73" i="90"/>
  <c r="R39" i="93"/>
  <c r="R116" i="154"/>
  <c r="R39" i="83"/>
  <c r="R67" i="140"/>
  <c r="R129" i="139"/>
  <c r="R95" i="140"/>
  <c r="R102" i="93"/>
  <c r="R61" i="83"/>
  <c r="R57" i="143"/>
  <c r="S36" i="142"/>
  <c r="R154" i="140"/>
  <c r="S97" i="142"/>
  <c r="S180" i="90"/>
  <c r="R30" i="83"/>
  <c r="R49" i="143"/>
  <c r="S88" i="142"/>
  <c r="S28" i="142"/>
  <c r="S101" i="142"/>
  <c r="S184" i="90"/>
  <c r="S79" i="142"/>
  <c r="R143" i="83"/>
  <c r="R121" i="140"/>
  <c r="R71" i="143"/>
  <c r="R44" i="143"/>
  <c r="S181" i="153"/>
  <c r="T181" i="153" s="1"/>
  <c r="R54" i="83"/>
  <c r="R35" i="83"/>
  <c r="R94" i="140"/>
  <c r="S29" i="142"/>
  <c r="S128" i="90"/>
  <c r="R139" i="154"/>
  <c r="R69" i="93"/>
  <c r="R76" i="143"/>
  <c r="R111" i="83"/>
  <c r="R145" i="140"/>
  <c r="R103" i="143"/>
  <c r="R52" i="143"/>
  <c r="R35" i="140"/>
  <c r="S151" i="90"/>
  <c r="R35" i="139"/>
  <c r="R69" i="140"/>
  <c r="R178" i="140"/>
  <c r="R86" i="154"/>
  <c r="R58" i="139"/>
  <c r="R156" i="93"/>
  <c r="R105" i="154"/>
  <c r="R24" i="83"/>
  <c r="R32" i="83"/>
  <c r="R28" i="140"/>
  <c r="R92" i="143"/>
  <c r="R175" i="140"/>
  <c r="R130" i="154"/>
  <c r="R124" i="83"/>
  <c r="R190" i="83"/>
  <c r="R97" i="140"/>
  <c r="R165" i="143"/>
  <c r="R153" i="93"/>
  <c r="R63" i="83"/>
  <c r="R153" i="154"/>
  <c r="R66" i="143"/>
  <c r="R40" i="140"/>
  <c r="R147" i="140"/>
  <c r="R135" i="93"/>
  <c r="R136" i="154"/>
  <c r="S151" i="142"/>
  <c r="R116" i="139"/>
  <c r="R44" i="140"/>
  <c r="R22" i="143"/>
  <c r="R16" i="143"/>
  <c r="S178" i="153"/>
  <c r="T178" i="153" s="1"/>
  <c r="R83" i="83"/>
  <c r="R121" i="143"/>
  <c r="R37" i="139"/>
  <c r="R75" i="143"/>
  <c r="S145" i="142"/>
  <c r="R60" i="93"/>
  <c r="R164" i="83"/>
  <c r="R105" i="143"/>
  <c r="R41" i="139"/>
  <c r="R91" i="143"/>
  <c r="S149" i="142"/>
  <c r="R64" i="93"/>
  <c r="R156" i="140"/>
  <c r="R92" i="139"/>
  <c r="R24" i="139"/>
  <c r="S77" i="90"/>
  <c r="S46" i="90"/>
  <c r="R71" i="154"/>
  <c r="R137" i="154"/>
  <c r="R15" i="139"/>
  <c r="R30" i="140"/>
  <c r="S179" i="142"/>
  <c r="R83" i="93"/>
  <c r="R39" i="154"/>
  <c r="R90" i="93"/>
  <c r="S146" i="142"/>
  <c r="R174" i="83"/>
  <c r="R32" i="139"/>
  <c r="S109" i="90"/>
  <c r="S54" i="90"/>
  <c r="S190" i="153"/>
  <c r="T190" i="153" s="1"/>
  <c r="R133" i="143"/>
  <c r="R188" i="143"/>
  <c r="R52" i="140"/>
  <c r="R125" i="140"/>
  <c r="R193" i="140"/>
  <c r="R74" i="143"/>
  <c r="R84" i="83"/>
  <c r="S118" i="142"/>
  <c r="R59" i="83"/>
  <c r="R146" i="154"/>
  <c r="S68" i="142"/>
  <c r="S12" i="90"/>
  <c r="S143" i="142"/>
  <c r="R77" i="154"/>
  <c r="R152" i="154"/>
  <c r="R21" i="139"/>
  <c r="R30" i="93"/>
  <c r="R23" i="93"/>
  <c r="R69" i="154"/>
  <c r="R17" i="155"/>
  <c r="R73" i="140"/>
  <c r="R98" i="140"/>
  <c r="R183" i="140"/>
  <c r="R34" i="154"/>
  <c r="S80" i="90"/>
  <c r="R141" i="93"/>
  <c r="R104" i="139"/>
  <c r="S81" i="90"/>
  <c r="S129" i="90"/>
  <c r="R182" i="143"/>
  <c r="R123" i="154"/>
  <c r="R50" i="139"/>
  <c r="S94" i="142"/>
  <c r="R85" i="139"/>
  <c r="R18" i="140"/>
  <c r="S173" i="90"/>
  <c r="R108" i="93"/>
  <c r="S14" i="18"/>
  <c r="R74" i="140"/>
  <c r="R89" i="139"/>
  <c r="R26" i="140"/>
  <c r="S182" i="90"/>
  <c r="R112" i="93"/>
  <c r="R170" i="83"/>
  <c r="R51" i="83"/>
  <c r="R68" i="140"/>
  <c r="S25" i="142"/>
  <c r="S124" i="90"/>
  <c r="R119" i="154"/>
  <c r="R145" i="93"/>
  <c r="R55" i="139"/>
  <c r="S44" i="142"/>
  <c r="R51" i="143"/>
  <c r="S150" i="90"/>
  <c r="R88" i="154"/>
  <c r="S107" i="142"/>
  <c r="R120" i="139"/>
  <c r="R124" i="139"/>
  <c r="R113" i="140"/>
  <c r="S33" i="142"/>
  <c r="S132" i="90"/>
  <c r="R79" i="154"/>
  <c r="R100" i="139"/>
  <c r="R17" i="143"/>
  <c r="R131" i="143"/>
  <c r="S112" i="142"/>
  <c r="S117" i="142"/>
  <c r="S191" i="153"/>
  <c r="T191" i="153" s="1"/>
  <c r="R68" i="83"/>
  <c r="R181" i="93"/>
  <c r="R152" i="139"/>
  <c r="R105" i="93"/>
  <c r="S122" i="142"/>
  <c r="R90" i="154"/>
  <c r="R113" i="154"/>
  <c r="R12" i="143"/>
  <c r="R140" i="140"/>
  <c r="R114" i="143"/>
  <c r="S165" i="90"/>
  <c r="R69" i="139"/>
  <c r="S49" i="142"/>
  <c r="R151" i="154"/>
  <c r="R129" i="93"/>
  <c r="R117" i="93"/>
  <c r="R107" i="139"/>
  <c r="R146" i="140"/>
  <c r="S89" i="142"/>
  <c r="R94" i="154"/>
  <c r="S147" i="142"/>
  <c r="R68" i="139"/>
  <c r="R78" i="139"/>
  <c r="R20" i="140"/>
  <c r="R126" i="93"/>
  <c r="S112" i="90"/>
  <c r="R107" i="154"/>
  <c r="R47" i="83"/>
  <c r="R27" i="140"/>
  <c r="R133" i="139"/>
  <c r="R103" i="140"/>
  <c r="R118" i="93"/>
  <c r="S103" i="142"/>
  <c r="R152" i="93"/>
  <c r="R137" i="139"/>
  <c r="R111" i="140"/>
  <c r="R134" i="93"/>
  <c r="R169" i="154"/>
  <c r="S16" i="18"/>
  <c r="R22" i="140"/>
  <c r="S170" i="142"/>
  <c r="R67" i="93"/>
  <c r="R35" i="154"/>
  <c r="S94" i="90"/>
  <c r="R79" i="139"/>
  <c r="S97" i="90"/>
  <c r="S153" i="90"/>
  <c r="R79" i="93"/>
  <c r="R125" i="154"/>
  <c r="S63" i="142"/>
  <c r="R57" i="154"/>
  <c r="R59" i="139"/>
  <c r="R38" i="140"/>
  <c r="S183" i="142"/>
  <c r="R99" i="93"/>
  <c r="R127" i="154"/>
  <c r="R62" i="139"/>
  <c r="S90" i="142"/>
  <c r="R57" i="139"/>
  <c r="S30" i="90"/>
  <c r="S53" i="90"/>
  <c r="R28" i="93"/>
  <c r="R37" i="93"/>
  <c r="R114" i="139"/>
  <c r="R157" i="139"/>
  <c r="S24" i="142"/>
  <c r="S98" i="142"/>
  <c r="R42" i="154"/>
  <c r="S23" i="90"/>
  <c r="R194" i="143"/>
  <c r="R92" i="83"/>
  <c r="R44" i="139"/>
  <c r="S157" i="90"/>
  <c r="S66" i="90"/>
  <c r="R135" i="154"/>
  <c r="R196" i="83"/>
  <c r="R53" i="154"/>
  <c r="S12" i="153"/>
  <c r="R124" i="143"/>
  <c r="R102" i="83"/>
  <c r="R171" i="154"/>
  <c r="R22" i="139"/>
  <c r="R12" i="93"/>
  <c r="R142" i="154"/>
  <c r="S84" i="142"/>
  <c r="S67" i="90"/>
  <c r="R83" i="143"/>
  <c r="R23" i="143"/>
  <c r="R62" i="154"/>
  <c r="R168" i="143"/>
  <c r="R180" i="143"/>
  <c r="R29" i="139"/>
  <c r="R42" i="143"/>
  <c r="S137" i="142"/>
  <c r="R48" i="93"/>
  <c r="R136" i="143"/>
  <c r="R138" i="154"/>
  <c r="R152" i="83"/>
  <c r="R99" i="143"/>
  <c r="S61" i="142"/>
  <c r="S191" i="90"/>
  <c r="R23" i="154"/>
  <c r="S119" i="142"/>
  <c r="R86" i="139"/>
  <c r="R57" i="140"/>
  <c r="R38" i="143"/>
  <c r="R36" i="143"/>
  <c r="S179" i="153"/>
  <c r="T179" i="153" s="1"/>
  <c r="R93" i="143"/>
  <c r="R30" i="139"/>
  <c r="R102" i="140"/>
  <c r="R54" i="143"/>
  <c r="R40" i="143"/>
  <c r="S180" i="153"/>
  <c r="T180" i="153" s="1"/>
  <c r="R183" i="93"/>
  <c r="R27" i="139"/>
  <c r="S32" i="142"/>
  <c r="R47" i="143"/>
  <c r="S146" i="90"/>
  <c r="R84" i="154"/>
  <c r="R74" i="93"/>
  <c r="R115" i="143"/>
  <c r="R61" i="140"/>
  <c r="R174" i="140"/>
  <c r="R54" i="154"/>
  <c r="R21" i="140"/>
  <c r="S92" i="142"/>
  <c r="R121" i="93"/>
  <c r="R83" i="139"/>
  <c r="R180" i="139"/>
  <c r="R130" i="83"/>
  <c r="R89" i="140"/>
  <c r="R112" i="143"/>
  <c r="R73" i="93"/>
  <c r="R164" i="93"/>
  <c r="R85" i="154"/>
  <c r="R40" i="83"/>
  <c r="R149" i="93"/>
  <c r="S132" i="142"/>
  <c r="R116" i="143"/>
  <c r="R48" i="139"/>
  <c r="R173" i="143"/>
  <c r="R40" i="93"/>
  <c r="R34" i="93"/>
  <c r="R183" i="143"/>
  <c r="R77" i="139"/>
  <c r="R189" i="139"/>
  <c r="S133" i="90"/>
  <c r="R100" i="93"/>
  <c r="S33" i="90"/>
  <c r="R56" i="154"/>
  <c r="R71" i="139"/>
  <c r="R123" i="140"/>
  <c r="R35" i="143"/>
  <c r="S27" i="90"/>
  <c r="R72" i="154"/>
  <c r="R109" i="143"/>
  <c r="R74" i="139"/>
  <c r="R16" i="139"/>
  <c r="R43" i="93"/>
  <c r="R187" i="143"/>
  <c r="R143" i="154"/>
  <c r="R132" i="139"/>
  <c r="R18" i="139"/>
  <c r="R20" i="139"/>
  <c r="S42" i="90"/>
  <c r="R191" i="143"/>
  <c r="R67" i="154"/>
  <c r="S106" i="90"/>
  <c r="R67" i="139"/>
  <c r="R143" i="143"/>
  <c r="S137" i="90"/>
  <c r="R71" i="93"/>
  <c r="R121" i="154"/>
  <c r="R153" i="140"/>
  <c r="R117" i="140"/>
  <c r="R190" i="140"/>
  <c r="R114" i="154"/>
  <c r="R34" i="139"/>
  <c r="R98" i="143"/>
  <c r="S86" i="90"/>
  <c r="R95" i="139"/>
  <c r="R107" i="93"/>
  <c r="R27" i="93"/>
  <c r="R87" i="93"/>
  <c r="R92" i="154"/>
  <c r="R73" i="154"/>
  <c r="R144" i="139"/>
  <c r="R153" i="139"/>
  <c r="R165" i="140"/>
  <c r="S30" i="142"/>
  <c r="R128" i="93"/>
  <c r="R179" i="143"/>
  <c r="R114" i="83"/>
  <c r="R40" i="139"/>
  <c r="S141" i="90"/>
  <c r="S62" i="90"/>
  <c r="R124" i="154"/>
  <c r="S35" i="142"/>
  <c r="R162" i="154"/>
  <c r="S20" i="142"/>
  <c r="R62" i="140"/>
  <c r="R19" i="143"/>
  <c r="R147" i="93"/>
  <c r="R104" i="154"/>
  <c r="S158" i="90"/>
  <c r="R51" i="140"/>
  <c r="R188" i="83"/>
  <c r="R154" i="139"/>
  <c r="R34" i="83"/>
  <c r="S166" i="90"/>
  <c r="R79" i="83"/>
  <c r="R193" i="143"/>
  <c r="R57" i="83"/>
  <c r="S111" i="90"/>
  <c r="S48" i="142"/>
  <c r="R181" i="140"/>
  <c r="R92" i="93"/>
  <c r="R15" i="140"/>
  <c r="S63" i="90"/>
  <c r="R125" i="139"/>
  <c r="R90" i="140"/>
  <c r="R86" i="93"/>
  <c r="R169" i="93"/>
  <c r="R53" i="93"/>
  <c r="R23" i="139"/>
  <c r="R95" i="143"/>
  <c r="S89" i="90"/>
  <c r="R47" i="93"/>
  <c r="R131" i="154"/>
  <c r="R150" i="83"/>
  <c r="R151" i="83"/>
  <c r="R33" i="140"/>
  <c r="S17" i="142"/>
  <c r="S116" i="90"/>
  <c r="R111" i="154"/>
  <c r="R126" i="154"/>
  <c r="R109" i="83"/>
  <c r="R49" i="140"/>
  <c r="S21" i="142"/>
  <c r="S120" i="90"/>
  <c r="R115" i="154"/>
  <c r="R136" i="93"/>
  <c r="S136" i="142"/>
  <c r="R56" i="140"/>
  <c r="R173" i="140"/>
  <c r="R38" i="154"/>
  <c r="R192" i="139"/>
  <c r="R33" i="143"/>
  <c r="S182" i="142"/>
  <c r="S80" i="142"/>
  <c r="S109" i="142"/>
  <c r="R31" i="83"/>
  <c r="R96" i="140"/>
  <c r="R144" i="93"/>
  <c r="R19" i="139"/>
  <c r="R64" i="140"/>
  <c r="R177" i="140"/>
  <c r="R70" i="154"/>
  <c r="R129" i="154"/>
  <c r="S59" i="142"/>
  <c r="R95" i="83"/>
  <c r="R164" i="140"/>
  <c r="R119" i="143"/>
  <c r="R56" i="143"/>
  <c r="R26" i="154"/>
  <c r="S134" i="142"/>
  <c r="R25" i="139"/>
  <c r="R157" i="143"/>
  <c r="R187" i="139"/>
  <c r="R107" i="83"/>
  <c r="R88" i="143"/>
  <c r="R189" i="83"/>
  <c r="R108" i="140"/>
  <c r="R52" i="139"/>
  <c r="R44" i="83"/>
  <c r="R99" i="140"/>
  <c r="S81" i="142"/>
  <c r="R74" i="154"/>
  <c r="R152" i="140"/>
  <c r="R39" i="140"/>
  <c r="R41" i="140"/>
  <c r="S169" i="142"/>
  <c r="S138" i="142"/>
  <c r="S177" i="153"/>
  <c r="T177" i="153" s="1"/>
  <c r="R144" i="140"/>
  <c r="R164" i="143"/>
  <c r="R118" i="140"/>
  <c r="R45" i="140"/>
  <c r="R151" i="140"/>
  <c r="R143" i="93"/>
  <c r="R140" i="154"/>
  <c r="R150" i="154"/>
  <c r="R120" i="83"/>
  <c r="R181" i="143"/>
  <c r="S65" i="142"/>
  <c r="R35" i="93"/>
  <c r="R27" i="154"/>
  <c r="R86" i="83"/>
  <c r="S145" i="90"/>
  <c r="S69" i="142"/>
  <c r="R51" i="93"/>
  <c r="R31" i="154"/>
  <c r="S91" i="90"/>
  <c r="R92" i="140"/>
  <c r="R114" i="140"/>
  <c r="R189" i="140"/>
  <c r="R98" i="154"/>
  <c r="R122" i="139"/>
  <c r="R73" i="143"/>
  <c r="R49" i="139"/>
  <c r="R123" i="143"/>
  <c r="S157" i="142"/>
  <c r="R72" i="93"/>
  <c r="S134" i="90"/>
  <c r="R91" i="140"/>
  <c r="S29" i="90"/>
  <c r="R36" i="140"/>
  <c r="R122" i="140"/>
  <c r="R191" i="140"/>
  <c r="R26" i="93"/>
  <c r="S58" i="142"/>
  <c r="R157" i="83"/>
  <c r="R36" i="139"/>
  <c r="S125" i="90"/>
  <c r="R83" i="154"/>
  <c r="R187" i="154"/>
  <c r="R195" i="143"/>
  <c r="R53" i="83"/>
  <c r="R54" i="93"/>
  <c r="R19" i="83"/>
  <c r="R15" i="83"/>
  <c r="S26" i="90"/>
  <c r="R121" i="83"/>
  <c r="R81" i="143"/>
  <c r="S104" i="90"/>
  <c r="R74" i="83"/>
  <c r="R46" i="143"/>
  <c r="S129" i="142"/>
  <c r="R95" i="154"/>
  <c r="R170" i="139"/>
  <c r="R120" i="140"/>
  <c r="R152" i="143"/>
  <c r="S65" i="90"/>
  <c r="R178" i="143"/>
  <c r="R106" i="154"/>
  <c r="S83" i="90"/>
  <c r="R125" i="93"/>
  <c r="R123" i="139"/>
  <c r="R101" i="140"/>
  <c r="R184" i="140"/>
  <c r="R50" i="154"/>
  <c r="S28" i="90"/>
  <c r="R24" i="154"/>
  <c r="R135" i="139"/>
  <c r="R131" i="140"/>
  <c r="R39" i="143"/>
  <c r="S31" i="90"/>
  <c r="R76" i="154"/>
  <c r="S163" i="153"/>
  <c r="T163" i="153" s="1"/>
  <c r="R105" i="140"/>
  <c r="S16" i="142"/>
  <c r="R43" i="143"/>
  <c r="S35" i="90"/>
  <c r="R80" i="154"/>
  <c r="R41" i="143"/>
  <c r="S152" i="142"/>
  <c r="S56" i="142"/>
  <c r="S105" i="142"/>
  <c r="S193" i="90"/>
  <c r="R17" i="83"/>
  <c r="R150" i="143"/>
  <c r="R97" i="139"/>
  <c r="R42" i="140"/>
  <c r="R78" i="93"/>
  <c r="R120" i="93"/>
  <c r="S32" i="90"/>
  <c r="R134" i="139"/>
  <c r="R25" i="143"/>
  <c r="R18" i="143"/>
  <c r="S96" i="142"/>
  <c r="S113" i="142"/>
  <c r="S172" i="153"/>
  <c r="T172" i="153" s="1"/>
  <c r="S99" i="142"/>
  <c r="R66" i="139"/>
  <c r="R125" i="83"/>
  <c r="R126" i="140"/>
  <c r="S37" i="142"/>
  <c r="S136" i="90"/>
  <c r="R24" i="155"/>
  <c r="R174" i="143"/>
  <c r="R100" i="83"/>
  <c r="S23" i="142"/>
  <c r="R23" i="155"/>
  <c r="R191" i="93"/>
  <c r="R80" i="143"/>
  <c r="R43" i="83"/>
  <c r="R112" i="139"/>
  <c r="R155" i="154"/>
  <c r="R98" i="83"/>
  <c r="R88" i="140"/>
  <c r="S101" i="90"/>
  <c r="R147" i="154"/>
  <c r="R117" i="83"/>
  <c r="R150" i="139"/>
  <c r="R56" i="139"/>
  <c r="R94" i="93"/>
  <c r="S108" i="90"/>
  <c r="R103" i="154"/>
  <c r="R172" i="83"/>
  <c r="R65" i="143"/>
  <c r="R149" i="140"/>
  <c r="R150" i="140"/>
  <c r="S93" i="142"/>
  <c r="R110" i="154"/>
  <c r="R192" i="143"/>
  <c r="S138" i="90"/>
  <c r="R39" i="139"/>
  <c r="R111" i="143"/>
  <c r="S105" i="90"/>
  <c r="R55" i="93"/>
  <c r="R16" i="155"/>
  <c r="S122" i="90"/>
  <c r="R51" i="139"/>
  <c r="R127" i="143"/>
  <c r="S121" i="90"/>
  <c r="R63" i="93"/>
  <c r="R89" i="143"/>
  <c r="R45" i="139"/>
  <c r="R107" i="143"/>
  <c r="S153" i="142"/>
  <c r="R68" i="93"/>
  <c r="R189" i="154"/>
  <c r="S150" i="142"/>
  <c r="R145" i="139"/>
  <c r="R127" i="140"/>
  <c r="S22" i="142"/>
  <c r="R192" i="83"/>
  <c r="R88" i="139"/>
  <c r="S124" i="142"/>
  <c r="R53" i="139"/>
  <c r="R139" i="143"/>
  <c r="S34" i="90"/>
  <c r="R24" i="93"/>
  <c r="S55" i="142"/>
  <c r="R41" i="154"/>
  <c r="R87" i="139"/>
  <c r="R46" i="140"/>
  <c r="S188" i="142"/>
  <c r="R115" i="93"/>
  <c r="R47" i="154"/>
  <c r="R127" i="139"/>
  <c r="R24" i="140"/>
  <c r="R91" i="93"/>
  <c r="R103" i="93"/>
  <c r="R58" i="93"/>
  <c r="S86" i="142"/>
  <c r="R132" i="143"/>
  <c r="R81" i="140"/>
  <c r="R133" i="140"/>
  <c r="S77" i="142"/>
  <c r="R46" i="154"/>
  <c r="R36" i="83"/>
  <c r="R101" i="83"/>
  <c r="R180" i="154"/>
  <c r="R144" i="143"/>
  <c r="R55" i="143"/>
  <c r="R58" i="140"/>
  <c r="S50" i="142"/>
  <c r="R54" i="140"/>
  <c r="S69" i="90"/>
  <c r="R100" i="154"/>
  <c r="S118" i="90"/>
  <c r="R143" i="139"/>
  <c r="S40" i="142"/>
  <c r="R111" i="93"/>
  <c r="R110" i="139"/>
  <c r="R149" i="83"/>
  <c r="R137" i="143"/>
  <c r="R179" i="93"/>
  <c r="R127" i="83"/>
  <c r="R110" i="93"/>
  <c r="R59" i="143"/>
  <c r="R102" i="143"/>
  <c r="S191" i="142"/>
  <c r="S164" i="90"/>
  <c r="R18" i="155"/>
  <c r="R98" i="93"/>
  <c r="R63" i="139"/>
  <c r="R156" i="143"/>
  <c r="R118" i="154"/>
  <c r="R51" i="154"/>
  <c r="R31" i="139"/>
  <c r="R33" i="139"/>
  <c r="S64" i="142"/>
  <c r="R134" i="140"/>
  <c r="S154" i="90"/>
  <c r="R142" i="93"/>
  <c r="R77" i="83"/>
  <c r="R77" i="140"/>
  <c r="R60" i="143"/>
  <c r="S78" i="142"/>
  <c r="R112" i="83"/>
  <c r="R17" i="139"/>
  <c r="S45" i="142"/>
  <c r="R36" i="93"/>
  <c r="R130" i="93"/>
  <c r="R138" i="140"/>
  <c r="R58" i="143"/>
  <c r="R53" i="140"/>
  <c r="R87" i="143"/>
  <c r="R76" i="93"/>
  <c r="S179" i="90"/>
  <c r="R67" i="83"/>
  <c r="S128" i="142"/>
  <c r="S140" i="90"/>
  <c r="R93" i="154"/>
  <c r="R33" i="93"/>
  <c r="R113" i="139"/>
  <c r="R67" i="143"/>
  <c r="R155" i="93"/>
  <c r="R116" i="93"/>
  <c r="R116" i="83"/>
  <c r="R72" i="143"/>
  <c r="S141" i="142"/>
  <c r="R170" i="140"/>
  <c r="R48" i="143"/>
  <c r="R43" i="154"/>
  <c r="R80" i="93"/>
  <c r="R151" i="139"/>
  <c r="S49" i="90"/>
  <c r="R131" i="93"/>
  <c r="R174" i="154"/>
  <c r="S52" i="90"/>
  <c r="R188" i="139"/>
  <c r="R123" i="93"/>
  <c r="R58" i="154"/>
  <c r="S178" i="142"/>
  <c r="R122" i="143"/>
  <c r="R59" i="154"/>
  <c r="R56" i="93"/>
  <c r="R172" i="93"/>
  <c r="S182" i="153"/>
  <c r="T182" i="153" s="1"/>
  <c r="S66" i="142"/>
  <c r="R96" i="154"/>
  <c r="R115" i="139"/>
  <c r="R66" i="140"/>
  <c r="S183" i="90"/>
  <c r="S126" i="90"/>
  <c r="S87" i="90"/>
  <c r="R34" i="143"/>
  <c r="R180" i="140"/>
  <c r="R91" i="154"/>
  <c r="S121" i="142"/>
  <c r="R131" i="139"/>
  <c r="R171" i="83"/>
  <c r="R75" i="83"/>
  <c r="R82" i="140"/>
  <c r="R117" i="154"/>
  <c r="R85" i="83"/>
  <c r="S39" i="142"/>
  <c r="R47" i="139"/>
  <c r="R135" i="143"/>
  <c r="R102" i="154"/>
  <c r="S83" i="142"/>
  <c r="S143" i="90"/>
  <c r="R157" i="140"/>
  <c r="S125" i="142"/>
  <c r="R55" i="154"/>
  <c r="R141" i="140"/>
  <c r="R76" i="140"/>
  <c r="R26" i="83"/>
  <c r="R22" i="83"/>
  <c r="R155" i="143"/>
  <c r="S99" i="90"/>
  <c r="R103" i="83"/>
  <c r="R89" i="93"/>
  <c r="R132" i="83"/>
  <c r="R75" i="93"/>
  <c r="S41" i="142"/>
  <c r="R32" i="93"/>
  <c r="R132" i="140"/>
  <c r="R86" i="143"/>
  <c r="R30" i="143"/>
  <c r="R22" i="93"/>
  <c r="R22" i="155"/>
  <c r="R139" i="83"/>
  <c r="R60" i="139"/>
  <c r="R50" i="143"/>
  <c r="R137" i="140"/>
  <c r="R93" i="139"/>
  <c r="R134" i="143"/>
  <c r="R118" i="143"/>
  <c r="R25" i="154"/>
  <c r="R61" i="139"/>
  <c r="R15" i="143"/>
  <c r="R84" i="93"/>
  <c r="S173" i="142"/>
  <c r="R80" i="139"/>
  <c r="R29" i="140"/>
  <c r="S102" i="142"/>
  <c r="R154" i="93"/>
  <c r="R117" i="143"/>
  <c r="S57" i="142"/>
  <c r="R48" i="140"/>
  <c r="R34" i="140"/>
  <c r="R101" i="139"/>
  <c r="R99" i="139"/>
  <c r="R57" i="93"/>
  <c r="R109" i="139"/>
  <c r="R63" i="143"/>
  <c r="R132" i="93"/>
  <c r="S100" i="142"/>
  <c r="R60" i="83"/>
  <c r="R85" i="140"/>
  <c r="R64" i="143"/>
  <c r="S11" i="18"/>
  <c r="R179" i="154"/>
  <c r="R99" i="154"/>
  <c r="S156" i="90"/>
  <c r="R155" i="140"/>
  <c r="R46" i="93"/>
  <c r="S60" i="142"/>
  <c r="R105" i="139"/>
  <c r="S119" i="90"/>
  <c r="S104" i="142"/>
  <c r="R179" i="140"/>
  <c r="R87" i="154"/>
  <c r="R193" i="83"/>
  <c r="R141" i="83"/>
  <c r="S144" i="142"/>
  <c r="S144" i="90"/>
  <c r="R50" i="140"/>
  <c r="R107" i="122"/>
  <c r="Q108" i="122"/>
  <c r="T130" i="108"/>
  <c r="S130" i="108"/>
  <c r="V130" i="108"/>
  <c r="F109" i="121"/>
  <c r="Q51" i="18"/>
  <c r="Q52" i="18" s="1"/>
  <c r="F52" i="18"/>
  <c r="Q87" i="149" l="1"/>
  <c r="T87" i="149" s="1"/>
  <c r="T107" i="126"/>
  <c r="Q108" i="126"/>
  <c r="R107" i="126"/>
  <c r="F127" i="126"/>
  <c r="F109" i="126"/>
  <c r="F110" i="126" s="1"/>
  <c r="Q108" i="125"/>
  <c r="T107" i="125"/>
  <c r="R107" i="125"/>
  <c r="F109" i="125"/>
  <c r="F110" i="125" s="1"/>
  <c r="F127" i="125"/>
  <c r="X22" i="91"/>
  <c r="U27" i="91"/>
  <c r="Q28" i="91"/>
  <c r="X23" i="91"/>
  <c r="R108" i="123"/>
  <c r="T108" i="123"/>
  <c r="Q109" i="123"/>
  <c r="Q110" i="123" s="1"/>
  <c r="T110" i="123" s="1"/>
  <c r="R108" i="124"/>
  <c r="Q109" i="124"/>
  <c r="Q110" i="124" s="1"/>
  <c r="T110" i="124" s="1"/>
  <c r="S32" i="18"/>
  <c r="S31" i="18"/>
  <c r="F109" i="122"/>
  <c r="F110" i="122" s="1"/>
  <c r="R108" i="121"/>
  <c r="Q109" i="121"/>
  <c r="T108" i="121"/>
  <c r="R20" i="155"/>
  <c r="U20" i="155"/>
  <c r="R150" i="93"/>
  <c r="Q157" i="93"/>
  <c r="R87" i="140"/>
  <c r="Q158" i="140"/>
  <c r="T87" i="140"/>
  <c r="F158" i="83"/>
  <c r="Q87" i="83"/>
  <c r="R108" i="122"/>
  <c r="Q109" i="122"/>
  <c r="Q110" i="122" s="1"/>
  <c r="Q127" i="122"/>
  <c r="G86" i="18"/>
  <c r="Q39" i="18"/>
  <c r="S39" i="18" s="1"/>
  <c r="J86" i="18"/>
  <c r="N86" i="18"/>
  <c r="L86" i="18"/>
  <c r="H86" i="18"/>
  <c r="O86" i="18"/>
  <c r="I86" i="18"/>
  <c r="F86" i="18"/>
  <c r="K86" i="18"/>
  <c r="M86" i="18"/>
  <c r="U14" i="155"/>
  <c r="R14" i="155"/>
  <c r="Q127" i="125" l="1"/>
  <c r="T127" i="125" s="1"/>
  <c r="R108" i="125"/>
  <c r="T108" i="125"/>
  <c r="Q109" i="125"/>
  <c r="T108" i="126"/>
  <c r="R108" i="126"/>
  <c r="Q109" i="126"/>
  <c r="Q127" i="126"/>
  <c r="T127" i="126" s="1"/>
  <c r="F159" i="83"/>
  <c r="F30" i="18" s="1"/>
  <c r="F13" i="155"/>
  <c r="T109" i="123"/>
  <c r="T109" i="124"/>
  <c r="Q158" i="83"/>
  <c r="R87" i="83"/>
  <c r="U87" i="83"/>
  <c r="F160" i="83"/>
  <c r="Q159" i="140"/>
  <c r="T158" i="140"/>
  <c r="R158" i="140"/>
  <c r="T109" i="121"/>
  <c r="R109" i="121"/>
  <c r="Q158" i="93"/>
  <c r="R157" i="93"/>
  <c r="Q110" i="126" l="1"/>
  <c r="T110" i="126" s="1"/>
  <c r="T109" i="126"/>
  <c r="Q110" i="125"/>
  <c r="T110" i="125" s="1"/>
  <c r="T109" i="125"/>
  <c r="F44" i="18"/>
  <c r="Q13" i="155"/>
  <c r="Q30" i="18"/>
  <c r="F35" i="18"/>
  <c r="Q160" i="140"/>
  <c r="T160" i="140" s="1"/>
  <c r="T159" i="140"/>
  <c r="R159" i="140"/>
  <c r="Q159" i="93"/>
  <c r="U159" i="93" s="1"/>
  <c r="R158" i="93"/>
  <c r="Q159" i="83"/>
  <c r="Q161" i="83" s="1"/>
  <c r="R158" i="83"/>
  <c r="U158" i="83"/>
  <c r="U13" i="155" l="1"/>
  <c r="R13" i="155"/>
  <c r="F47" i="18"/>
  <c r="Q44" i="18"/>
  <c r="U159" i="83"/>
  <c r="R159" i="83"/>
  <c r="Q160" i="83"/>
  <c r="U160" i="83" s="1"/>
  <c r="S30" i="18"/>
  <c r="Q35" i="18"/>
  <c r="S44" i="18" l="1"/>
  <c r="Q47" i="18"/>
  <c r="S47" i="18" s="1"/>
  <c r="F40" i="18"/>
  <c r="F25" i="155"/>
  <c r="S35" i="18"/>
  <c r="G25" i="155" l="1"/>
  <c r="G40" i="18"/>
  <c r="H40" i="18" l="1"/>
  <c r="H25" i="155"/>
  <c r="J40" i="18" l="1"/>
  <c r="J25" i="155"/>
  <c r="I40" i="18"/>
  <c r="I25" i="155"/>
  <c r="K25" i="155" l="1"/>
  <c r="K40" i="18"/>
  <c r="L40" i="18" l="1"/>
  <c r="L25" i="155"/>
  <c r="N40" i="18" l="1"/>
  <c r="N25" i="155"/>
  <c r="M40" i="18"/>
  <c r="M25" i="155"/>
  <c r="O40" i="18" l="1"/>
  <c r="O25" i="155"/>
  <c r="P40" i="18" l="1"/>
  <c r="P25" i="155"/>
  <c r="Q15" i="155"/>
  <c r="U15" i="155" l="1"/>
  <c r="R15" i="155"/>
  <c r="Q25" i="155"/>
  <c r="Q40" i="18"/>
  <c r="S40" i="18" l="1"/>
  <c r="R25" i="155"/>
  <c r="U25" i="155"/>
  <c r="Q134" i="121" l="1"/>
  <c r="Q135" i="121" s="1"/>
  <c r="T134" i="121"/>
  <c r="L135" i="121"/>
  <c r="L164" i="121"/>
  <c r="L37" i="121"/>
  <c r="L60" i="108" s="1"/>
  <c r="L110" i="121"/>
  <c r="L111" i="121" s="1"/>
  <c r="L173" i="108"/>
  <c r="L174" i="108" s="1"/>
  <c r="L203" i="108" s="1"/>
  <c r="G135" i="121"/>
  <c r="G164" i="121"/>
  <c r="G37" i="121" s="1"/>
  <c r="G110" i="121" s="1"/>
  <c r="G111" i="121" s="1"/>
  <c r="G173" i="108"/>
  <c r="G174" i="108" s="1"/>
  <c r="G203" i="108" s="1"/>
  <c r="N135" i="121"/>
  <c r="N164" i="121"/>
  <c r="N37" i="121" s="1"/>
  <c r="N173" i="108"/>
  <c r="N174" i="108"/>
  <c r="N203" i="108" s="1"/>
  <c r="N59" i="108" s="1"/>
  <c r="P173" i="108"/>
  <c r="P174" i="108" s="1"/>
  <c r="P203" i="108" s="1"/>
  <c r="K135" i="121"/>
  <c r="K164" i="121" s="1"/>
  <c r="K37" i="121" s="1"/>
  <c r="K173" i="108"/>
  <c r="K174" i="108" s="1"/>
  <c r="K203" i="108" s="1"/>
  <c r="K69" i="18" s="1"/>
  <c r="M135" i="121"/>
  <c r="M164" i="121" s="1"/>
  <c r="M37" i="121" s="1"/>
  <c r="M173" i="108"/>
  <c r="M174" i="108" s="1"/>
  <c r="M203" i="108" s="1"/>
  <c r="H135" i="121"/>
  <c r="H164" i="121" s="1"/>
  <c r="H37" i="121" s="1"/>
  <c r="H173" i="108"/>
  <c r="H174" i="108" s="1"/>
  <c r="H203" i="108" s="1"/>
  <c r="F173" i="108"/>
  <c r="F174" i="108" s="1"/>
  <c r="F203" i="108" s="1"/>
  <c r="F69" i="18" s="1"/>
  <c r="F80" i="18" s="1"/>
  <c r="J135" i="121"/>
  <c r="J164" i="121"/>
  <c r="J37" i="121" s="1"/>
  <c r="J128" i="121" s="1"/>
  <c r="J173" i="108"/>
  <c r="J174" i="108" s="1"/>
  <c r="J203" i="108" s="1"/>
  <c r="E135" i="121"/>
  <c r="E164" i="121" s="1"/>
  <c r="E37" i="121" s="1"/>
  <c r="E110" i="121" s="1"/>
  <c r="E111" i="121" s="1"/>
  <c r="E173" i="108"/>
  <c r="E174" i="108"/>
  <c r="E203" i="108" s="1"/>
  <c r="P135" i="121"/>
  <c r="P164" i="121"/>
  <c r="P37" i="121" s="1"/>
  <c r="P128" i="121" s="1"/>
  <c r="O135" i="121"/>
  <c r="O164" i="121"/>
  <c r="O37" i="121" s="1"/>
  <c r="O128" i="121" s="1"/>
  <c r="O173" i="108"/>
  <c r="O174" i="108" s="1"/>
  <c r="O203" i="108" s="1"/>
  <c r="O69" i="18" s="1"/>
  <c r="I135" i="121"/>
  <c r="I164" i="121"/>
  <c r="I37" i="121" s="1"/>
  <c r="I60" i="108" s="1"/>
  <c r="I173" i="108"/>
  <c r="I174" i="108" s="1"/>
  <c r="I203" i="108" s="1"/>
  <c r="F135" i="121"/>
  <c r="F164" i="121"/>
  <c r="F37" i="121" s="1"/>
  <c r="F60" i="108" s="1"/>
  <c r="F59" i="108" l="1"/>
  <c r="F167" i="108" s="1"/>
  <c r="O59" i="108"/>
  <c r="M60" i="108"/>
  <c r="M110" i="121"/>
  <c r="M111" i="121" s="1"/>
  <c r="F131" i="108"/>
  <c r="F132" i="108" s="1"/>
  <c r="K128" i="121"/>
  <c r="K110" i="121"/>
  <c r="K111" i="121" s="1"/>
  <c r="H128" i="121"/>
  <c r="H110" i="121"/>
  <c r="H111" i="121" s="1"/>
  <c r="I110" i="121"/>
  <c r="I111" i="121" s="1"/>
  <c r="N69" i="18"/>
  <c r="N80" i="18" s="1"/>
  <c r="J110" i="121"/>
  <c r="J111" i="121" s="1"/>
  <c r="N131" i="108"/>
  <c r="N132" i="108" s="1"/>
  <c r="N19" i="18"/>
  <c r="H59" i="108"/>
  <c r="H69" i="18"/>
  <c r="H80" i="18" s="1"/>
  <c r="I59" i="108"/>
  <c r="I69" i="18"/>
  <c r="G69" i="18"/>
  <c r="G80" i="18" s="1"/>
  <c r="G59" i="108"/>
  <c r="O110" i="121"/>
  <c r="O111" i="121" s="1"/>
  <c r="K59" i="108"/>
  <c r="Q173" i="108"/>
  <c r="S173" i="108" s="1"/>
  <c r="I128" i="121"/>
  <c r="H60" i="108"/>
  <c r="K60" i="108"/>
  <c r="G60" i="108"/>
  <c r="G128" i="121"/>
  <c r="F19" i="18"/>
  <c r="J59" i="108"/>
  <c r="J69" i="18"/>
  <c r="L59" i="108"/>
  <c r="L69" i="18"/>
  <c r="M59" i="108"/>
  <c r="M69" i="18"/>
  <c r="O80" i="18"/>
  <c r="N110" i="121"/>
  <c r="N111" i="121" s="1"/>
  <c r="N128" i="121"/>
  <c r="N60" i="108"/>
  <c r="E59" i="108"/>
  <c r="E69" i="18"/>
  <c r="Q164" i="121"/>
  <c r="R135" i="121"/>
  <c r="T135" i="121"/>
  <c r="P69" i="18"/>
  <c r="P59" i="108"/>
  <c r="K80" i="18"/>
  <c r="Q37" i="121"/>
  <c r="F110" i="121"/>
  <c r="F111" i="121" s="1"/>
  <c r="O60" i="108"/>
  <c r="F128" i="121"/>
  <c r="E60" i="108"/>
  <c r="N167" i="108"/>
  <c r="O131" i="108"/>
  <c r="O132" i="108" s="1"/>
  <c r="L128" i="121"/>
  <c r="P110" i="121"/>
  <c r="P111" i="121" s="1"/>
  <c r="M128" i="121"/>
  <c r="J60" i="108"/>
  <c r="E128" i="121"/>
  <c r="R134" i="121"/>
  <c r="P60" i="108"/>
  <c r="V173" i="108" l="1"/>
  <c r="Q174" i="108"/>
  <c r="O167" i="108"/>
  <c r="O19" i="18"/>
  <c r="K167" i="108"/>
  <c r="K19" i="18"/>
  <c r="K131" i="108"/>
  <c r="K132" i="108" s="1"/>
  <c r="I80" i="18"/>
  <c r="I167" i="108"/>
  <c r="I19" i="18"/>
  <c r="I131" i="108"/>
  <c r="I132" i="108" s="1"/>
  <c r="N21" i="18"/>
  <c r="N24" i="18"/>
  <c r="N28" i="18" s="1"/>
  <c r="N36" i="18" s="1"/>
  <c r="F24" i="18"/>
  <c r="F28" i="18" s="1"/>
  <c r="F36" i="18" s="1"/>
  <c r="F21" i="18"/>
  <c r="G131" i="108"/>
  <c r="G132" i="108" s="1"/>
  <c r="G19" i="18"/>
  <c r="G167" i="108"/>
  <c r="H131" i="108"/>
  <c r="H132" i="108" s="1"/>
  <c r="H167" i="108"/>
  <c r="H19" i="18"/>
  <c r="P131" i="108"/>
  <c r="P132" i="108" s="1"/>
  <c r="P19" i="18"/>
  <c r="P167" i="108"/>
  <c r="Q165" i="121"/>
  <c r="T164" i="121"/>
  <c r="R164" i="121"/>
  <c r="E80" i="18"/>
  <c r="Q69" i="18"/>
  <c r="T37" i="121"/>
  <c r="Q128" i="121"/>
  <c r="T128" i="121" s="1"/>
  <c r="R37" i="121"/>
  <c r="Q110" i="121"/>
  <c r="Q60" i="108"/>
  <c r="L19" i="18"/>
  <c r="L167" i="108"/>
  <c r="L131" i="108"/>
  <c r="L132" i="108" s="1"/>
  <c r="Q59" i="108"/>
  <c r="E167" i="108"/>
  <c r="E131" i="108"/>
  <c r="E132" i="108" s="1"/>
  <c r="E19" i="18"/>
  <c r="M80" i="18"/>
  <c r="M19" i="18"/>
  <c r="M167" i="108"/>
  <c r="M131" i="108"/>
  <c r="M132" i="108" s="1"/>
  <c r="J80" i="18"/>
  <c r="S174" i="108"/>
  <c r="Q203" i="108"/>
  <c r="AC204" i="108" s="1"/>
  <c r="Q208" i="108"/>
  <c r="V174" i="108"/>
  <c r="L80" i="18"/>
  <c r="J167" i="108"/>
  <c r="J131" i="108"/>
  <c r="J132" i="108" s="1"/>
  <c r="J19" i="18"/>
  <c r="O21" i="18" l="1"/>
  <c r="O24" i="18"/>
  <c r="O28" i="18" s="1"/>
  <c r="O36" i="18" s="1"/>
  <c r="H21" i="18"/>
  <c r="H24" i="18"/>
  <c r="H28" i="18" s="1"/>
  <c r="H36" i="18" s="1"/>
  <c r="N37" i="18"/>
  <c r="N41" i="18"/>
  <c r="N53" i="18" s="1"/>
  <c r="I21" i="18"/>
  <c r="I24" i="18"/>
  <c r="I28" i="18" s="1"/>
  <c r="I36" i="18" s="1"/>
  <c r="K21" i="18"/>
  <c r="K24" i="18"/>
  <c r="K28" i="18" s="1"/>
  <c r="K36" i="18" s="1"/>
  <c r="G21" i="18"/>
  <c r="G24" i="18"/>
  <c r="G28" i="18" s="1"/>
  <c r="G36" i="18" s="1"/>
  <c r="F37" i="18"/>
  <c r="F41" i="18"/>
  <c r="F53" i="18" s="1"/>
  <c r="V59" i="108"/>
  <c r="Q131" i="108"/>
  <c r="S59" i="108"/>
  <c r="Q167" i="108"/>
  <c r="V167" i="108" s="1"/>
  <c r="S72" i="18"/>
  <c r="S74" i="18"/>
  <c r="S69" i="18"/>
  <c r="L21" i="18"/>
  <c r="L24" i="18"/>
  <c r="L28" i="18" s="1"/>
  <c r="L36" i="18" s="1"/>
  <c r="J24" i="18"/>
  <c r="J28" i="18" s="1"/>
  <c r="J36" i="18" s="1"/>
  <c r="J21" i="18"/>
  <c r="M24" i="18"/>
  <c r="M28" i="18" s="1"/>
  <c r="M36" i="18" s="1"/>
  <c r="M21" i="18"/>
  <c r="P21" i="18"/>
  <c r="P24" i="18"/>
  <c r="P28" i="18" s="1"/>
  <c r="P36" i="18" s="1"/>
  <c r="Q111" i="121"/>
  <c r="T111" i="121" s="1"/>
  <c r="T110" i="121"/>
  <c r="Q210" i="108"/>
  <c r="Q71" i="18"/>
  <c r="S71" i="18" s="1"/>
  <c r="Q204" i="108"/>
  <c r="S203" i="108"/>
  <c r="V203" i="108"/>
  <c r="Q19" i="18"/>
  <c r="E24" i="18"/>
  <c r="E21" i="18"/>
  <c r="O37" i="18" l="1"/>
  <c r="O41" i="18"/>
  <c r="O53" i="18" s="1"/>
  <c r="F61" i="18"/>
  <c r="F62" i="18" s="1"/>
  <c r="F54" i="18"/>
  <c r="I41" i="18"/>
  <c r="I53" i="18" s="1"/>
  <c r="I37" i="18"/>
  <c r="N61" i="18"/>
  <c r="N62" i="18" s="1"/>
  <c r="N54" i="18"/>
  <c r="H37" i="18"/>
  <c r="H41" i="18"/>
  <c r="H53" i="18" s="1"/>
  <c r="G41" i="18"/>
  <c r="G53" i="18" s="1"/>
  <c r="G37" i="18"/>
  <c r="K37" i="18"/>
  <c r="K41" i="18"/>
  <c r="K53" i="18" s="1"/>
  <c r="J41" i="18"/>
  <c r="J53" i="18" s="1"/>
  <c r="J37" i="18"/>
  <c r="E28" i="18"/>
  <c r="E36" i="18" s="1"/>
  <c r="Q24" i="18"/>
  <c r="P37" i="18"/>
  <c r="P41" i="18"/>
  <c r="P53" i="18" s="1"/>
  <c r="L41" i="18"/>
  <c r="L53" i="18" s="1"/>
  <c r="L37" i="18"/>
  <c r="S19" i="18"/>
  <c r="Q21" i="18"/>
  <c r="S21" i="18" s="1"/>
  <c r="V131" i="108"/>
  <c r="Q132" i="108"/>
  <c r="V132" i="108" s="1"/>
  <c r="M41" i="18"/>
  <c r="M53" i="18" s="1"/>
  <c r="M37" i="18"/>
  <c r="O54" i="18" l="1"/>
  <c r="O61" i="18"/>
  <c r="O62" i="18" s="1"/>
  <c r="H54" i="18"/>
  <c r="H61" i="18"/>
  <c r="H62" i="18" s="1"/>
  <c r="K54" i="18"/>
  <c r="K61" i="18"/>
  <c r="K62" i="18" s="1"/>
  <c r="G61" i="18"/>
  <c r="G62" i="18" s="1"/>
  <c r="G54" i="18"/>
  <c r="I61" i="18"/>
  <c r="I62" i="18" s="1"/>
  <c r="I54" i="18"/>
  <c r="P61" i="18"/>
  <c r="P62" i="18" s="1"/>
  <c r="P54" i="18"/>
  <c r="M61" i="18"/>
  <c r="M62" i="18" s="1"/>
  <c r="M54" i="18"/>
  <c r="L54" i="18"/>
  <c r="L61" i="18"/>
  <c r="L62" i="18" s="1"/>
  <c r="Q28" i="18"/>
  <c r="S24" i="18"/>
  <c r="N84" i="18"/>
  <c r="N87" i="18" s="1"/>
  <c r="K84" i="18"/>
  <c r="K87" i="18" s="1"/>
  <c r="O84" i="18"/>
  <c r="O87" i="18" s="1"/>
  <c r="H84" i="18"/>
  <c r="H87" i="18" s="1"/>
  <c r="M84" i="18"/>
  <c r="M87" i="18" s="1"/>
  <c r="J84" i="18"/>
  <c r="J87" i="18" s="1"/>
  <c r="L84" i="18"/>
  <c r="L87" i="18" s="1"/>
  <c r="E84" i="18"/>
  <c r="E87" i="18" s="1"/>
  <c r="E41" i="18"/>
  <c r="E53" i="18" s="1"/>
  <c r="F84" i="18"/>
  <c r="F87" i="18" s="1"/>
  <c r="I84" i="18"/>
  <c r="I87" i="18" s="1"/>
  <c r="G84" i="18"/>
  <c r="G87" i="18" s="1"/>
  <c r="E37" i="18"/>
  <c r="J61" i="18"/>
  <c r="J62" i="18" s="1"/>
  <c r="J54" i="18"/>
  <c r="S28" i="18" l="1"/>
  <c r="Q36" i="18"/>
  <c r="E54" i="18"/>
  <c r="E61" i="18"/>
  <c r="E62" i="18" s="1"/>
  <c r="Q41" i="18" l="1"/>
  <c r="Q37" i="18"/>
  <c r="S36" i="18"/>
  <c r="S41" i="18" l="1"/>
  <c r="Q53" i="18"/>
  <c r="Q54" i="18" l="1"/>
  <c r="S53" i="18"/>
  <c r="Q61" i="18"/>
  <c r="S61" i="18" l="1"/>
  <c r="Q62" i="18"/>
</calcChain>
</file>

<file path=xl/comments1.xml><?xml version="1.0" encoding="utf-8"?>
<comments xmlns="http://schemas.openxmlformats.org/spreadsheetml/2006/main">
  <authors>
    <author>lenovo</author>
  </authors>
  <commentList>
    <comment ref="K77" authorId="0" shapeId="0">
      <text>
        <r>
          <rPr>
            <b/>
            <sz val="9"/>
            <color indexed="81"/>
            <rFont val="宋体"/>
            <family val="3"/>
            <charset val="134"/>
          </rPr>
          <t>lenovo:</t>
        </r>
        <r>
          <rPr>
            <sz val="9"/>
            <color indexed="81"/>
            <rFont val="宋体"/>
            <family val="3"/>
            <charset val="134"/>
          </rPr>
          <t xml:space="preserve">
神秘访客</t>
        </r>
      </text>
    </comment>
  </commentList>
</comments>
</file>

<file path=xl/comments2.xml><?xml version="1.0" encoding="utf-8"?>
<comments xmlns="http://schemas.openxmlformats.org/spreadsheetml/2006/main">
  <authors>
    <author>lenovo</author>
    <author>Alex</author>
    <author>nicole</author>
  </authors>
  <commentList>
    <comment ref="J77" authorId="0" shapeId="0">
      <text>
        <r>
          <rPr>
            <b/>
            <sz val="9"/>
            <color indexed="81"/>
            <rFont val="宋体"/>
            <family val="3"/>
            <charset val="134"/>
          </rPr>
          <t>lenovo:</t>
        </r>
        <r>
          <rPr>
            <sz val="9"/>
            <color indexed="81"/>
            <rFont val="宋体"/>
            <family val="3"/>
            <charset val="134"/>
          </rPr>
          <t xml:space="preserve">
+神秘访客7000</t>
        </r>
      </text>
    </comment>
    <comment ref="O77" authorId="1" shapeId="0">
      <text>
        <r>
          <rPr>
            <b/>
            <sz val="9"/>
            <rFont val="宋体"/>
            <family val="3"/>
            <charset val="134"/>
          </rPr>
          <t>Alex:</t>
        </r>
        <r>
          <rPr>
            <sz val="9"/>
            <rFont val="宋体"/>
            <family val="3"/>
            <charset val="134"/>
          </rPr>
          <t xml:space="preserve">
公共卫生许可相关检查，年检</t>
        </r>
      </text>
    </comment>
    <comment ref="Q118" authorId="2" shapeId="0">
      <text>
        <r>
          <rPr>
            <b/>
            <sz val="9"/>
            <color indexed="81"/>
            <rFont val="宋体"/>
            <family val="3"/>
            <charset val="134"/>
          </rPr>
          <t>nicole:</t>
        </r>
        <r>
          <rPr>
            <sz val="9"/>
            <color indexed="81"/>
            <rFont val="宋体"/>
            <family val="3"/>
            <charset val="134"/>
          </rPr>
          <t xml:space="preserve">
正式员工工资</t>
        </r>
      </text>
    </comment>
  </commentList>
</comments>
</file>

<file path=xl/comments3.xml><?xml version="1.0" encoding="utf-8"?>
<comments xmlns="http://schemas.openxmlformats.org/spreadsheetml/2006/main">
  <authors>
    <author>wynnwu</author>
    <author>Microsoft Office User</author>
  </authors>
  <commentList>
    <comment ref="P57" authorId="0" shapeId="0">
      <text>
        <r>
          <rPr>
            <b/>
            <sz val="9"/>
            <rFont val="宋体"/>
            <family val="3"/>
            <charset val="134"/>
          </rPr>
          <t>wynnwu:</t>
        </r>
        <r>
          <rPr>
            <sz val="9"/>
            <rFont val="宋体"/>
            <family val="3"/>
            <charset val="134"/>
          </rPr>
          <t xml:space="preserve">
会员感谢日</t>
        </r>
      </text>
    </comment>
    <comment ref="E72" authorId="0" shapeId="0">
      <text>
        <r>
          <rPr>
            <b/>
            <sz val="9"/>
            <rFont val="宋体"/>
            <family val="3"/>
            <charset val="134"/>
          </rPr>
          <t>wynnwu:</t>
        </r>
        <r>
          <rPr>
            <sz val="9"/>
            <rFont val="宋体"/>
            <family val="3"/>
            <charset val="134"/>
          </rPr>
          <t xml:space="preserve">
百灵达化学药剂</t>
        </r>
      </text>
    </comment>
    <comment ref="L72" authorId="0" shapeId="0">
      <text>
        <r>
          <rPr>
            <b/>
            <sz val="9"/>
            <rFont val="宋体"/>
            <family val="3"/>
            <charset val="134"/>
          </rPr>
          <t>wynnwu:</t>
        </r>
        <r>
          <rPr>
            <sz val="9"/>
            <rFont val="宋体"/>
            <family val="3"/>
            <charset val="134"/>
          </rPr>
          <t xml:space="preserve">
百灵达化学药剂</t>
        </r>
      </text>
    </comment>
    <comment ref="E77" authorId="1" shapeId="0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新年活动</t>
        </r>
      </text>
    </comment>
    <comment ref="I77" authorId="1" shapeId="0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六一活动</t>
        </r>
      </text>
    </comment>
    <comment ref="M77" authorId="1" shapeId="0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国庆活动</t>
        </r>
      </text>
    </comment>
    <comment ref="E87" authorId="1" shapeId="0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过年</t>
        </r>
      </text>
    </comment>
  </commentList>
</comments>
</file>

<file path=xl/comments4.xml><?xml version="1.0" encoding="utf-8"?>
<comments xmlns="http://schemas.openxmlformats.org/spreadsheetml/2006/main">
  <authors>
    <author>Wendy</author>
  </authors>
  <commentList>
    <comment ref="G191" authorId="0" shapeId="0">
      <text>
        <r>
          <rPr>
            <b/>
            <sz val="9"/>
            <color indexed="81"/>
            <rFont val="宋体"/>
            <family val="3"/>
            <charset val="134"/>
          </rPr>
          <t>Grace Zhou:
L6级以上人员体检费，1500*4=6000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lenovo</author>
    <author>张绿洋</author>
  </authors>
  <commentList>
    <comment ref="M75" authorId="0" shapeId="0">
      <text>
        <r>
          <rPr>
            <b/>
            <sz val="9"/>
            <color indexed="81"/>
            <rFont val="宋体"/>
            <family val="3"/>
            <charset val="134"/>
          </rPr>
          <t>lenovo:</t>
        </r>
        <r>
          <rPr>
            <sz val="9"/>
            <color indexed="81"/>
            <rFont val="宋体"/>
            <family val="3"/>
            <charset val="134"/>
          </rPr>
          <t xml:space="preserve">
HR年会</t>
        </r>
      </text>
    </comment>
    <comment ref="G96" authorId="0" shapeId="0">
      <text>
        <r>
          <rPr>
            <b/>
            <sz val="9"/>
            <rFont val="宋体"/>
            <family val="3"/>
            <charset val="134"/>
          </rPr>
          <t>lenovo:</t>
        </r>
        <r>
          <rPr>
            <sz val="9"/>
            <rFont val="宋体"/>
            <family val="3"/>
            <charset val="134"/>
          </rPr>
          <t xml:space="preserve">
年后酒店大招 50000</t>
        </r>
      </text>
    </comment>
    <comment ref="H96" authorId="1" shapeId="0">
      <text>
        <r>
          <rPr>
            <b/>
            <sz val="9"/>
            <color indexed="81"/>
            <rFont val="宋体"/>
            <family val="3"/>
            <charset val="134"/>
          </rPr>
          <t>张绿洋:</t>
        </r>
        <r>
          <rPr>
            <sz val="9"/>
            <color indexed="81"/>
            <rFont val="宋体"/>
            <family val="3"/>
            <charset val="134"/>
          </rPr>
          <t xml:space="preserve">
实习生行程费报销 20人/700</t>
        </r>
      </text>
    </comment>
    <comment ref="K96" authorId="1" shapeId="0">
      <text>
        <r>
          <rPr>
            <b/>
            <sz val="9"/>
            <color indexed="81"/>
            <rFont val="宋体"/>
            <family val="3"/>
            <charset val="134"/>
          </rPr>
          <t>张绿洋:</t>
        </r>
        <r>
          <rPr>
            <sz val="9"/>
            <color indexed="81"/>
            <rFont val="宋体"/>
            <family val="3"/>
            <charset val="134"/>
          </rPr>
          <t xml:space="preserve">
实习生行程费报销
新实习生与结束实习生预计40人。=，每人700元</t>
        </r>
      </text>
    </comment>
    <comment ref="N96" authorId="1" shapeId="0">
      <text>
        <r>
          <rPr>
            <b/>
            <sz val="9"/>
            <color indexed="81"/>
            <rFont val="宋体"/>
            <family val="3"/>
            <charset val="134"/>
          </rPr>
          <t>张绿洋:</t>
        </r>
        <r>
          <rPr>
            <sz val="9"/>
            <color indexed="81"/>
            <rFont val="宋体"/>
            <family val="3"/>
            <charset val="134"/>
          </rPr>
          <t xml:space="preserve">
实习生行程费报销预计20人 每人700元</t>
        </r>
      </text>
    </comment>
    <comment ref="P96" authorId="0" shapeId="0">
      <text>
        <r>
          <rPr>
            <b/>
            <sz val="9"/>
            <rFont val="宋体"/>
            <family val="3"/>
            <charset val="134"/>
          </rPr>
          <t>lenovo:</t>
        </r>
        <r>
          <rPr>
            <sz val="9"/>
            <rFont val="宋体"/>
            <family val="3"/>
            <charset val="134"/>
          </rPr>
          <t xml:space="preserve">
最佳东方续约</t>
        </r>
      </text>
    </comment>
  </commentList>
</comments>
</file>

<file path=xl/comments6.xml><?xml version="1.0" encoding="utf-8"?>
<comments xmlns="http://schemas.openxmlformats.org/spreadsheetml/2006/main">
  <authors>
    <author>Wendy</author>
  </authors>
  <commentList>
    <comment ref="G191" authorId="0" shapeId="0">
      <text>
        <r>
          <rPr>
            <b/>
            <sz val="9"/>
            <color indexed="81"/>
            <rFont val="宋体"/>
            <family val="3"/>
            <charset val="134"/>
          </rPr>
          <t>Grace Zhou:
L6级以上人员体检费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Wendy</author>
  </authors>
  <commentList>
    <comment ref="G191" authorId="0" shapeId="0">
      <text>
        <r>
          <rPr>
            <b/>
            <sz val="9"/>
            <color indexed="81"/>
            <rFont val="宋体"/>
            <family val="3"/>
            <charset val="134"/>
          </rPr>
          <t>Grace Zhou:
L6级以上人员体检费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arlenex</author>
    <author>Wendy</author>
  </authors>
  <commentList>
    <comment ref="G45" authorId="0" shapeId="0">
      <text>
        <r>
          <rPr>
            <b/>
            <sz val="9"/>
            <rFont val="宋体"/>
            <family val="3"/>
            <charset val="134"/>
          </rPr>
          <t>arlenex:</t>
        </r>
        <r>
          <rPr>
            <sz val="9"/>
            <rFont val="宋体"/>
            <family val="3"/>
            <charset val="134"/>
          </rPr>
          <t xml:space="preserve">
春季推广</t>
        </r>
      </text>
    </comment>
    <comment ref="J45" authorId="0" shapeId="0">
      <text>
        <r>
          <rPr>
            <b/>
            <sz val="9"/>
            <rFont val="宋体"/>
            <family val="3"/>
            <charset val="134"/>
          </rPr>
          <t>arlenex:</t>
        </r>
        <r>
          <rPr>
            <sz val="9"/>
            <rFont val="宋体"/>
            <family val="3"/>
            <charset val="134"/>
          </rPr>
          <t xml:space="preserve">
端午及年中推广</t>
        </r>
      </text>
    </comment>
    <comment ref="M45" authorId="0" shapeId="0">
      <text>
        <r>
          <rPr>
            <b/>
            <sz val="9"/>
            <rFont val="宋体"/>
            <family val="3"/>
            <charset val="134"/>
          </rPr>
          <t>arlenex:</t>
        </r>
        <r>
          <rPr>
            <sz val="9"/>
            <rFont val="宋体"/>
            <family val="3"/>
            <charset val="134"/>
          </rPr>
          <t xml:space="preserve">
秋季推广</t>
        </r>
      </text>
    </comment>
    <comment ref="O45" authorId="0" shapeId="0">
      <text>
        <r>
          <rPr>
            <b/>
            <sz val="9"/>
            <rFont val="宋体"/>
            <family val="3"/>
            <charset val="134"/>
          </rPr>
          <t>arlenex:</t>
        </r>
        <r>
          <rPr>
            <sz val="9"/>
            <rFont val="宋体"/>
            <family val="3"/>
            <charset val="134"/>
          </rPr>
          <t xml:space="preserve">
年末推广</t>
        </r>
      </text>
    </comment>
    <comment ref="P48" authorId="0" shapeId="0">
      <text>
        <r>
          <rPr>
            <b/>
            <sz val="9"/>
            <rFont val="宋体"/>
            <family val="3"/>
            <charset val="134"/>
          </rPr>
          <t>arlenex:</t>
        </r>
        <r>
          <rPr>
            <sz val="9"/>
            <rFont val="宋体"/>
            <family val="3"/>
            <charset val="134"/>
          </rPr>
          <t xml:space="preserve">
开年VIP礼物+红包+台历，每一种类预估200套</t>
        </r>
      </text>
    </comment>
    <comment ref="G190" authorId="1" shapeId="0">
      <text>
        <r>
          <rPr>
            <b/>
            <sz val="9"/>
            <color indexed="81"/>
            <rFont val="宋体"/>
            <family val="3"/>
            <charset val="134"/>
          </rPr>
          <t>Grace Zhou:
L6级以上人员体检费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<sst xmlns="http://schemas.openxmlformats.org/spreadsheetml/2006/main" count="14953" uniqueCount="1348">
  <si>
    <t>v1.0</t>
  </si>
  <si>
    <t>Uranus</t>
  </si>
  <si>
    <t>First Release</t>
  </si>
  <si>
    <t>Hotel Name</t>
  </si>
  <si>
    <t>Bsiness Unit</t>
  </si>
  <si>
    <t>Period:</t>
  </si>
  <si>
    <t>Year</t>
  </si>
  <si>
    <t>公式单元格，不需要输入</t>
  </si>
  <si>
    <t>First Period</t>
  </si>
  <si>
    <t>Current Period LY</t>
  </si>
  <si>
    <t>First Period LY</t>
  </si>
  <si>
    <t>Budget</t>
  </si>
  <si>
    <t>B</t>
  </si>
  <si>
    <t>2018001</t>
  </si>
  <si>
    <t>2018012</t>
  </si>
  <si>
    <t>Hotel Budget Report</t>
  </si>
  <si>
    <t>酒店预算报表</t>
  </si>
  <si>
    <t>Income Statement</t>
  </si>
  <si>
    <t>Account</t>
  </si>
  <si>
    <t>Dept</t>
  </si>
  <si>
    <t>BUDGET</t>
  </si>
  <si>
    <t>ACT + FCST</t>
  </si>
  <si>
    <t>LY%</t>
  </si>
  <si>
    <t>LY</t>
  </si>
  <si>
    <t>Variance</t>
  </si>
  <si>
    <t>&lt;&lt;30100110..30100192,38108100,39810200..39810300</t>
  </si>
  <si>
    <t>&lt;&lt;10099..10999</t>
  </si>
  <si>
    <r>
      <rPr>
        <sz val="16"/>
        <rFont val="Arial"/>
        <family val="2"/>
      </rPr>
      <t xml:space="preserve">Rooms Revenue </t>
    </r>
    <r>
      <rPr>
        <sz val="16"/>
        <rFont val="微软雅黑"/>
        <family val="2"/>
        <charset val="134"/>
      </rPr>
      <t>客房收入</t>
    </r>
  </si>
  <si>
    <t>&lt;&lt;30200210..30400050,38108100,39810200..39810300</t>
  </si>
  <si>
    <t>&lt;&lt;20001..29999</t>
  </si>
  <si>
    <r>
      <rPr>
        <sz val="16"/>
        <rFont val="Arial"/>
        <family val="2"/>
      </rPr>
      <t xml:space="preserve">Food and Beverage Revenue </t>
    </r>
    <r>
      <rPr>
        <sz val="16"/>
        <rFont val="微软雅黑"/>
        <family val="2"/>
        <charset val="134"/>
      </rPr>
      <t>餐饮收入</t>
    </r>
  </si>
  <si>
    <t>&lt;&lt;36010011..36800100,37013000,38108100,39810200..39810300</t>
  </si>
  <si>
    <t>&lt;&lt;31099..39000</t>
  </si>
  <si>
    <r>
      <rPr>
        <sz val="16"/>
        <rFont val="Arial"/>
        <family val="2"/>
      </rPr>
      <t xml:space="preserve">Other Operating Dept. Revenue </t>
    </r>
    <r>
      <rPr>
        <sz val="16"/>
        <rFont val="微软雅黑"/>
        <family val="2"/>
        <charset val="134"/>
      </rPr>
      <t>他运营部门收入</t>
    </r>
  </si>
  <si>
    <t>&lt;&lt;37011000,38108100,39810200..39810300</t>
  </si>
  <si>
    <t>&lt;&lt;39801</t>
  </si>
  <si>
    <r>
      <rPr>
        <sz val="16"/>
        <rFont val="Arial"/>
        <family val="2"/>
      </rPr>
      <t xml:space="preserve">Shop&amp;Showcase Revenue </t>
    </r>
    <r>
      <rPr>
        <sz val="16"/>
        <rFont val="微软雅黑"/>
        <family val="2"/>
        <charset val="134"/>
      </rPr>
      <t>零售和展柜收入</t>
    </r>
  </si>
  <si>
    <t>&lt;&lt;36800200..37010000,37012000..39810300</t>
  </si>
  <si>
    <r>
      <rPr>
        <sz val="16"/>
        <rFont val="Arial"/>
        <family val="2"/>
      </rPr>
      <t xml:space="preserve">Hotel Miscellaneous Revenue </t>
    </r>
    <r>
      <rPr>
        <sz val="16"/>
        <rFont val="微软雅黑"/>
        <family val="2"/>
        <charset val="134"/>
      </rPr>
      <t>酒店杂项收入</t>
    </r>
  </si>
  <si>
    <r>
      <rPr>
        <b/>
        <sz val="16"/>
        <rFont val="Arial"/>
        <family val="2"/>
      </rPr>
      <t xml:space="preserve">Total Gross Operating Revenue </t>
    </r>
    <r>
      <rPr>
        <b/>
        <sz val="16"/>
        <rFont val="微软雅黑"/>
        <family val="2"/>
        <charset val="134"/>
      </rPr>
      <t>运营总收入</t>
    </r>
  </si>
  <si>
    <t>&lt;&lt;40200100..69999999</t>
  </si>
  <si>
    <r>
      <rPr>
        <sz val="16"/>
        <rFont val="Arial"/>
        <family val="2"/>
      </rPr>
      <t xml:space="preserve">Rooms Expenses </t>
    </r>
    <r>
      <rPr>
        <sz val="16"/>
        <rFont val="微软雅黑"/>
        <family val="2"/>
        <charset val="134"/>
      </rPr>
      <t>客房费用</t>
    </r>
  </si>
  <si>
    <r>
      <rPr>
        <sz val="16"/>
        <rFont val="Arial"/>
        <family val="2"/>
      </rPr>
      <t xml:space="preserve">Food and Beverage Expenses </t>
    </r>
    <r>
      <rPr>
        <sz val="16"/>
        <rFont val="微软雅黑"/>
        <family val="2"/>
        <charset val="134"/>
      </rPr>
      <t>餐饮费用</t>
    </r>
  </si>
  <si>
    <r>
      <rPr>
        <sz val="16"/>
        <rFont val="Arial"/>
        <family val="2"/>
      </rPr>
      <t xml:space="preserve">Other Operating Dept. Expenses </t>
    </r>
    <r>
      <rPr>
        <sz val="16"/>
        <rFont val="微软雅黑"/>
        <family val="2"/>
        <charset val="134"/>
      </rPr>
      <t>他运营部门费用</t>
    </r>
  </si>
  <si>
    <r>
      <rPr>
        <b/>
        <sz val="16"/>
        <rFont val="Arial"/>
        <family val="2"/>
      </rPr>
      <t xml:space="preserve">Total Gross Operating Expenses </t>
    </r>
    <r>
      <rPr>
        <b/>
        <sz val="16"/>
        <rFont val="微软雅黑"/>
        <family val="2"/>
        <charset val="134"/>
      </rPr>
      <t>运营总费用</t>
    </r>
  </si>
  <si>
    <r>
      <rPr>
        <sz val="16"/>
        <rFont val="Arial"/>
        <family val="2"/>
      </rPr>
      <t xml:space="preserve">Food and Beverage Profit </t>
    </r>
    <r>
      <rPr>
        <sz val="16"/>
        <rFont val="微软雅黑"/>
        <family val="2"/>
        <charset val="134"/>
      </rPr>
      <t>餐饮利润</t>
    </r>
  </si>
  <si>
    <r>
      <rPr>
        <sz val="16"/>
        <rFont val="Arial"/>
        <family val="2"/>
      </rPr>
      <t xml:space="preserve">Other Operating Dept. Profit </t>
    </r>
    <r>
      <rPr>
        <sz val="16"/>
        <rFont val="微软雅黑"/>
        <family val="2"/>
        <charset val="134"/>
      </rPr>
      <t>他运营部门利润</t>
    </r>
  </si>
  <si>
    <r>
      <rPr>
        <sz val="16"/>
        <rFont val="Arial"/>
        <family val="2"/>
      </rPr>
      <t xml:space="preserve">Shop&amp;Showcase Profit </t>
    </r>
    <r>
      <rPr>
        <sz val="16"/>
        <rFont val="微软雅黑"/>
        <family val="2"/>
        <charset val="134"/>
      </rPr>
      <t>零售和展柜利润</t>
    </r>
  </si>
  <si>
    <r>
      <rPr>
        <sz val="16"/>
        <rFont val="Arial"/>
        <family val="2"/>
      </rPr>
      <t xml:space="preserve">Miscellaneous Profit </t>
    </r>
    <r>
      <rPr>
        <sz val="16"/>
        <rFont val="微软雅黑"/>
        <family val="2"/>
        <charset val="134"/>
      </rPr>
      <t>杂项利润</t>
    </r>
  </si>
  <si>
    <r>
      <rPr>
        <b/>
        <sz val="16"/>
        <rFont val="Arial"/>
        <family val="2"/>
      </rPr>
      <t xml:space="preserve">Total Departmental Profit </t>
    </r>
    <r>
      <rPr>
        <b/>
        <sz val="16"/>
        <rFont val="微软雅黑"/>
        <family val="2"/>
        <charset val="134"/>
      </rPr>
      <t>部门利润合计</t>
    </r>
  </si>
  <si>
    <t>&lt;&lt;50010100..699999999</t>
  </si>
  <si>
    <t>&lt;&lt;41001..41004,42004,43004</t>
  </si>
  <si>
    <r>
      <rPr>
        <sz val="16"/>
        <rFont val="Arial"/>
        <family val="2"/>
      </rPr>
      <t xml:space="preserve">Administrative and General </t>
    </r>
    <r>
      <rPr>
        <sz val="16"/>
        <rFont val="微软雅黑"/>
        <family val="2"/>
        <charset val="134"/>
      </rPr>
      <t>行政部门费用</t>
    </r>
  </si>
  <si>
    <t>&lt;&lt;50010100..60014800,60014820..699999999</t>
  </si>
  <si>
    <t>&lt;&lt;41071..41073</t>
  </si>
  <si>
    <r>
      <rPr>
        <sz val="16"/>
        <rFont val="Arial"/>
        <family val="2"/>
      </rPr>
      <t xml:space="preserve">Marketing and Sales </t>
    </r>
    <r>
      <rPr>
        <sz val="16"/>
        <rFont val="微软雅黑"/>
        <family val="2"/>
        <charset val="134"/>
      </rPr>
      <t>营销费用</t>
    </r>
  </si>
  <si>
    <t>&lt;&lt;60014810</t>
  </si>
  <si>
    <r>
      <rPr>
        <sz val="16"/>
        <rFont val="Arial"/>
        <family val="2"/>
      </rPr>
      <t xml:space="preserve">Marketing Fund </t>
    </r>
    <r>
      <rPr>
        <sz val="16"/>
        <rFont val="微软雅黑"/>
        <family val="2"/>
        <charset val="134"/>
      </rPr>
      <t>市场营销基金</t>
    </r>
  </si>
  <si>
    <t>&lt;&lt;41006</t>
  </si>
  <si>
    <r>
      <rPr>
        <sz val="16"/>
        <rFont val="Arial"/>
        <family val="2"/>
      </rPr>
      <t xml:space="preserve">Repairs and Maintenance </t>
    </r>
    <r>
      <rPr>
        <sz val="16"/>
        <rFont val="微软雅黑"/>
        <family val="2"/>
        <charset val="134"/>
      </rPr>
      <t>工程维修维护费</t>
    </r>
  </si>
  <si>
    <t>&lt;&lt;41005</t>
  </si>
  <si>
    <r>
      <rPr>
        <b/>
        <sz val="16"/>
        <rFont val="Arial"/>
        <family val="2"/>
      </rPr>
      <t xml:space="preserve">Total Undistributed Operating Expenses </t>
    </r>
    <r>
      <rPr>
        <b/>
        <sz val="16"/>
        <rFont val="微软雅黑"/>
        <family val="2"/>
        <charset val="134"/>
      </rPr>
      <t>其他费用合计</t>
    </r>
  </si>
  <si>
    <r>
      <rPr>
        <b/>
        <sz val="16"/>
        <rFont val="Arial"/>
        <family val="2"/>
      </rPr>
      <t xml:space="preserve">Gross Operating Profit </t>
    </r>
    <r>
      <rPr>
        <b/>
        <sz val="16"/>
        <rFont val="微软雅黑"/>
        <family val="2"/>
        <charset val="134"/>
      </rPr>
      <t>经营毛利额</t>
    </r>
  </si>
  <si>
    <r>
      <rPr>
        <b/>
        <sz val="16"/>
        <rFont val="Arial"/>
        <family val="2"/>
      </rPr>
      <t xml:space="preserve">Gross Operating Profit % </t>
    </r>
    <r>
      <rPr>
        <b/>
        <sz val="16"/>
        <rFont val="微软雅黑"/>
        <family val="2"/>
        <charset val="134"/>
      </rPr>
      <t>经营毛利率</t>
    </r>
    <r>
      <rPr>
        <b/>
        <sz val="16"/>
        <rFont val="Arial"/>
        <family val="2"/>
      </rPr>
      <t>%</t>
    </r>
  </si>
  <si>
    <t>&lt;&lt;70010100</t>
  </si>
  <si>
    <t>&lt;&lt;70011</t>
  </si>
  <si>
    <r>
      <rPr>
        <sz val="16"/>
        <rFont val="Arial"/>
        <family val="2"/>
      </rPr>
      <t xml:space="preserve">Basic Management Fees </t>
    </r>
    <r>
      <rPr>
        <sz val="16"/>
        <rFont val="微软雅黑"/>
        <family val="2"/>
        <charset val="134"/>
      </rPr>
      <t>基本管理费</t>
    </r>
  </si>
  <si>
    <t>&lt;&lt;70010200</t>
  </si>
  <si>
    <r>
      <rPr>
        <sz val="16"/>
        <rFont val="Arial"/>
        <family val="2"/>
      </rPr>
      <t xml:space="preserve">Incentive Management Fees </t>
    </r>
    <r>
      <rPr>
        <sz val="16"/>
        <rFont val="微软雅黑"/>
        <family val="2"/>
        <charset val="134"/>
      </rPr>
      <t>奖励管理费</t>
    </r>
  </si>
  <si>
    <r>
      <rPr>
        <b/>
        <sz val="16"/>
        <rFont val="Arial"/>
        <family val="2"/>
      </rPr>
      <t xml:space="preserve">Profit Before Fixed Charges </t>
    </r>
    <r>
      <rPr>
        <b/>
        <sz val="16"/>
        <rFont val="微软雅黑"/>
        <family val="2"/>
        <charset val="134"/>
      </rPr>
      <t>固定费用前利润</t>
    </r>
  </si>
  <si>
    <t>&lt;&lt;70010300..70010400</t>
  </si>
  <si>
    <r>
      <rPr>
        <sz val="16"/>
        <rFont val="Arial"/>
        <family val="2"/>
      </rPr>
      <t xml:space="preserve">Rent </t>
    </r>
    <r>
      <rPr>
        <sz val="16"/>
        <rFont val="微软雅黑"/>
        <family val="2"/>
        <charset val="134"/>
      </rPr>
      <t>房租</t>
    </r>
  </si>
  <si>
    <t>&lt;&lt;70010010</t>
  </si>
  <si>
    <r>
      <rPr>
        <sz val="16"/>
        <rFont val="Arial"/>
        <family val="2"/>
      </rPr>
      <t xml:space="preserve">Tax and Related Fees </t>
    </r>
    <r>
      <rPr>
        <sz val="16"/>
        <rFont val="微软雅黑"/>
        <family val="2"/>
        <charset val="134"/>
      </rPr>
      <t>税金及相关附加费</t>
    </r>
  </si>
  <si>
    <t>&lt;&lt;70010800..70011000</t>
  </si>
  <si>
    <r>
      <rPr>
        <sz val="16"/>
        <rFont val="Arial"/>
        <family val="2"/>
      </rPr>
      <t xml:space="preserve">Insurance </t>
    </r>
    <r>
      <rPr>
        <sz val="16"/>
        <rFont val="微软雅黑"/>
        <family val="2"/>
        <charset val="134"/>
      </rPr>
      <t>保险</t>
    </r>
  </si>
  <si>
    <t>&lt;&lt;70010600</t>
  </si>
  <si>
    <r>
      <rPr>
        <sz val="16"/>
        <rFont val="Arial"/>
        <family val="2"/>
      </rPr>
      <t xml:space="preserve">Others </t>
    </r>
    <r>
      <rPr>
        <sz val="16"/>
        <rFont val="微软雅黑"/>
        <family val="2"/>
        <charset val="134"/>
      </rPr>
      <t>其他</t>
    </r>
  </si>
  <si>
    <r>
      <rPr>
        <b/>
        <sz val="16"/>
        <rFont val="Arial"/>
        <family val="2"/>
      </rPr>
      <t xml:space="preserve">Total Fixed Charges </t>
    </r>
    <r>
      <rPr>
        <b/>
        <sz val="16"/>
        <rFont val="微软雅黑"/>
        <family val="2"/>
        <charset val="134"/>
      </rPr>
      <t>固定费用合计</t>
    </r>
  </si>
  <si>
    <t>&lt;&lt;39810601</t>
  </si>
  <si>
    <r>
      <rPr>
        <sz val="16"/>
        <rFont val="Arial"/>
        <family val="2"/>
      </rPr>
      <t xml:space="preserve">Interest (Income) </t>
    </r>
    <r>
      <rPr>
        <sz val="16"/>
        <rFont val="微软雅黑"/>
        <family val="2"/>
        <charset val="134"/>
      </rPr>
      <t>利息收入</t>
    </r>
  </si>
  <si>
    <t>None</t>
  </si>
  <si>
    <r>
      <rPr>
        <sz val="16"/>
        <rFont val="Arial"/>
        <family val="2"/>
      </rPr>
      <t xml:space="preserve">Interest Expense </t>
    </r>
    <r>
      <rPr>
        <sz val="16"/>
        <rFont val="微软雅黑"/>
        <family val="2"/>
        <charset val="134"/>
      </rPr>
      <t>利息费用</t>
    </r>
  </si>
  <si>
    <t>&lt;&lt;70011100</t>
  </si>
  <si>
    <r>
      <rPr>
        <sz val="16"/>
        <rFont val="Arial"/>
        <family val="2"/>
      </rPr>
      <t xml:space="preserve">Other Non Operating (Income) Expenses </t>
    </r>
    <r>
      <rPr>
        <sz val="16"/>
        <rFont val="微软雅黑"/>
        <family val="2"/>
        <charset val="134"/>
      </rPr>
      <t>其他非营运费用</t>
    </r>
  </si>
  <si>
    <r>
      <rPr>
        <b/>
        <sz val="16"/>
        <rFont val="Arial"/>
        <family val="2"/>
      </rPr>
      <t xml:space="preserve">Total Non Operating (Income) Expenses </t>
    </r>
    <r>
      <rPr>
        <b/>
        <sz val="16"/>
        <rFont val="微软雅黑"/>
        <family val="2"/>
        <charset val="134"/>
      </rPr>
      <t>非营运费用</t>
    </r>
    <r>
      <rPr>
        <b/>
        <sz val="16"/>
        <rFont val="Arial"/>
        <family val="2"/>
      </rPr>
      <t>(</t>
    </r>
    <r>
      <rPr>
        <b/>
        <sz val="16"/>
        <rFont val="微软雅黑"/>
        <family val="2"/>
        <charset val="134"/>
      </rPr>
      <t>收入</t>
    </r>
    <r>
      <rPr>
        <b/>
        <sz val="16"/>
        <rFont val="Arial"/>
        <family val="2"/>
      </rPr>
      <t>)</t>
    </r>
    <r>
      <rPr>
        <b/>
        <sz val="16"/>
        <rFont val="微软雅黑"/>
        <family val="2"/>
        <charset val="134"/>
      </rPr>
      <t>合计</t>
    </r>
  </si>
  <si>
    <r>
      <rPr>
        <b/>
        <sz val="16"/>
        <rFont val="Arial"/>
        <family val="2"/>
      </rPr>
      <t xml:space="preserve">Net Operating Income (Loss) </t>
    </r>
    <r>
      <rPr>
        <b/>
        <sz val="16"/>
        <rFont val="微软雅黑"/>
        <family val="2"/>
        <charset val="134"/>
      </rPr>
      <t>净利润</t>
    </r>
    <r>
      <rPr>
        <b/>
        <sz val="16"/>
        <rFont val="Arial"/>
        <family val="2"/>
      </rPr>
      <t>(</t>
    </r>
    <r>
      <rPr>
        <b/>
        <sz val="16"/>
        <rFont val="微软雅黑"/>
        <family val="2"/>
        <charset val="134"/>
      </rPr>
      <t>亏损</t>
    </r>
    <r>
      <rPr>
        <b/>
        <sz val="16"/>
        <rFont val="Arial"/>
        <family val="2"/>
      </rPr>
      <t>)</t>
    </r>
  </si>
  <si>
    <r>
      <rPr>
        <b/>
        <sz val="16"/>
        <rFont val="Arial"/>
        <family val="2"/>
      </rPr>
      <t xml:space="preserve">Net Operating Income (Loss) % </t>
    </r>
    <r>
      <rPr>
        <b/>
        <sz val="16"/>
        <rFont val="微软雅黑"/>
        <family val="2"/>
        <charset val="134"/>
      </rPr>
      <t>净利润</t>
    </r>
    <r>
      <rPr>
        <b/>
        <sz val="16"/>
        <rFont val="Arial"/>
        <family val="2"/>
      </rPr>
      <t>(</t>
    </r>
    <r>
      <rPr>
        <b/>
        <sz val="16"/>
        <rFont val="微软雅黑"/>
        <family val="2"/>
        <charset val="134"/>
      </rPr>
      <t>亏损</t>
    </r>
    <r>
      <rPr>
        <b/>
        <sz val="16"/>
        <rFont val="Arial"/>
        <family val="2"/>
      </rPr>
      <t>)</t>
    </r>
    <r>
      <rPr>
        <b/>
        <sz val="16"/>
        <rFont val="微软雅黑"/>
        <family val="2"/>
        <charset val="134"/>
      </rPr>
      <t>率</t>
    </r>
    <r>
      <rPr>
        <b/>
        <sz val="16"/>
        <rFont val="Arial"/>
        <family val="2"/>
      </rPr>
      <t>%</t>
    </r>
  </si>
  <si>
    <t>&lt;&lt;70020000</t>
  </si>
  <si>
    <t>&lt;&lt;70100</t>
  </si>
  <si>
    <r>
      <rPr>
        <sz val="16"/>
        <rFont val="Arial"/>
        <family val="2"/>
      </rPr>
      <t xml:space="preserve">Owner Office Expenses </t>
    </r>
    <r>
      <rPr>
        <sz val="16"/>
        <rFont val="微软雅黑"/>
        <family val="2"/>
        <charset val="134"/>
      </rPr>
      <t>业主办公室费用</t>
    </r>
  </si>
  <si>
    <t>.</t>
  </si>
  <si>
    <t>&lt;&lt;70010500</t>
  </si>
  <si>
    <r>
      <rPr>
        <sz val="16"/>
        <rFont val="Arial"/>
        <family val="2"/>
      </rPr>
      <t xml:space="preserve">Pre-opening Expenses </t>
    </r>
    <r>
      <rPr>
        <sz val="16"/>
        <rFont val="微软雅黑"/>
        <family val="2"/>
        <charset val="134"/>
      </rPr>
      <t>预开业费用</t>
    </r>
  </si>
  <si>
    <t>&lt;&lt;70010700</t>
  </si>
  <si>
    <r>
      <rPr>
        <sz val="16"/>
        <rFont val="Arial"/>
        <family val="2"/>
      </rPr>
      <t xml:space="preserve">FFE Reserve </t>
    </r>
    <r>
      <rPr>
        <sz val="16"/>
        <rFont val="微软雅黑"/>
        <family val="2"/>
        <charset val="134"/>
      </rPr>
      <t>资产储备</t>
    </r>
  </si>
  <si>
    <r>
      <rPr>
        <b/>
        <sz val="16"/>
        <rFont val="Arial"/>
        <family val="2"/>
      </rPr>
      <t xml:space="preserve">Adjusted Net Operating Income (Loss) </t>
    </r>
    <r>
      <rPr>
        <b/>
        <sz val="16"/>
        <rFont val="微软雅黑"/>
        <family val="2"/>
        <charset val="134"/>
      </rPr>
      <t>调整后净利润</t>
    </r>
    <r>
      <rPr>
        <b/>
        <sz val="16"/>
        <rFont val="Arial"/>
        <family val="2"/>
      </rPr>
      <t>(</t>
    </r>
    <r>
      <rPr>
        <b/>
        <sz val="16"/>
        <rFont val="微软雅黑"/>
        <family val="2"/>
        <charset val="134"/>
      </rPr>
      <t>亏损</t>
    </r>
    <r>
      <rPr>
        <b/>
        <sz val="16"/>
        <rFont val="Arial"/>
        <family val="2"/>
      </rPr>
      <t>)</t>
    </r>
  </si>
  <si>
    <r>
      <rPr>
        <b/>
        <sz val="16"/>
        <rFont val="Arial"/>
        <family val="2"/>
      </rPr>
      <t xml:space="preserve">Adjusted Net Operating Income (Loss) % </t>
    </r>
    <r>
      <rPr>
        <b/>
        <sz val="16"/>
        <rFont val="微软雅黑"/>
        <family val="2"/>
        <charset val="134"/>
      </rPr>
      <t>调整后净利润</t>
    </r>
    <r>
      <rPr>
        <b/>
        <sz val="16"/>
        <rFont val="Arial"/>
        <family val="2"/>
      </rPr>
      <t>(</t>
    </r>
    <r>
      <rPr>
        <b/>
        <sz val="16"/>
        <rFont val="微软雅黑"/>
        <family val="2"/>
        <charset val="134"/>
      </rPr>
      <t>亏损</t>
    </r>
    <r>
      <rPr>
        <b/>
        <sz val="16"/>
        <rFont val="Arial"/>
        <family val="2"/>
      </rPr>
      <t>)</t>
    </r>
    <r>
      <rPr>
        <b/>
        <sz val="16"/>
        <rFont val="微软雅黑"/>
        <family val="2"/>
        <charset val="134"/>
      </rPr>
      <t>率</t>
    </r>
    <r>
      <rPr>
        <b/>
        <sz val="16"/>
        <rFont val="Arial"/>
        <family val="2"/>
      </rPr>
      <t>%</t>
    </r>
  </si>
  <si>
    <t>&lt;&lt;90010201</t>
  </si>
  <si>
    <t>&lt;&lt;10100</t>
  </si>
  <si>
    <r>
      <rPr>
        <b/>
        <sz val="16"/>
        <rFont val="Arial"/>
        <family val="2"/>
      </rPr>
      <t xml:space="preserve">Total Rooms </t>
    </r>
    <r>
      <rPr>
        <b/>
        <sz val="16"/>
        <rFont val="微软雅黑"/>
        <family val="2"/>
        <charset val="134"/>
      </rPr>
      <t>总房间数</t>
    </r>
  </si>
  <si>
    <t>&lt;&lt;90010205</t>
  </si>
  <si>
    <r>
      <rPr>
        <b/>
        <sz val="16"/>
        <rFont val="Arial"/>
        <family val="2"/>
      </rPr>
      <t xml:space="preserve">Room Sold </t>
    </r>
    <r>
      <rPr>
        <b/>
        <sz val="16"/>
        <rFont val="微软雅黑"/>
        <family val="2"/>
        <charset val="134"/>
      </rPr>
      <t>付费房间数</t>
    </r>
  </si>
  <si>
    <r>
      <rPr>
        <b/>
        <sz val="16"/>
        <rFont val="Arial"/>
        <family val="2"/>
      </rPr>
      <t xml:space="preserve">Paid Occupancy </t>
    </r>
    <r>
      <rPr>
        <b/>
        <sz val="16"/>
        <rFont val="微软雅黑"/>
        <family val="2"/>
        <charset val="134"/>
      </rPr>
      <t>付费房入出租率</t>
    </r>
    <r>
      <rPr>
        <b/>
        <sz val="16"/>
        <rFont val="Arial"/>
        <family val="2"/>
      </rPr>
      <t>%</t>
    </r>
  </si>
  <si>
    <r>
      <rPr>
        <b/>
        <sz val="16"/>
        <rFont val="Arial"/>
        <family val="2"/>
      </rPr>
      <t xml:space="preserve">Average Rate </t>
    </r>
    <r>
      <rPr>
        <b/>
        <sz val="16"/>
        <rFont val="微软雅黑"/>
        <family val="2"/>
        <charset val="134"/>
      </rPr>
      <t>平均房费</t>
    </r>
  </si>
  <si>
    <r>
      <rPr>
        <b/>
        <sz val="16"/>
        <rFont val="Arial"/>
        <family val="2"/>
      </rPr>
      <t xml:space="preserve">RevPAR </t>
    </r>
    <r>
      <rPr>
        <b/>
        <sz val="16"/>
        <rFont val="微软雅黑"/>
        <family val="2"/>
        <charset val="134"/>
      </rPr>
      <t>可用房平均房费</t>
    </r>
  </si>
  <si>
    <t>&lt;&lt;5..59999999</t>
  </si>
  <si>
    <t>&lt;ALL&gt;</t>
  </si>
  <si>
    <t>&lt;&lt;90030100</t>
  </si>
  <si>
    <t>YTD GOP</t>
  </si>
  <si>
    <t>YTD Rent</t>
  </si>
  <si>
    <t>YTD Basic Management Fees</t>
  </si>
  <si>
    <t>YTD Adjust GOP</t>
  </si>
  <si>
    <r>
      <rPr>
        <b/>
        <sz val="18"/>
        <rFont val="Arial"/>
        <family val="2"/>
      </rPr>
      <t xml:space="preserve">Rooms Summary </t>
    </r>
    <r>
      <rPr>
        <b/>
        <sz val="18"/>
        <rFont val="微软雅黑"/>
        <family val="2"/>
        <charset val="134"/>
      </rPr>
      <t>房务部损益</t>
    </r>
  </si>
  <si>
    <t>L2</t>
  </si>
  <si>
    <r>
      <rPr>
        <b/>
        <sz val="16"/>
        <rFont val="Arial"/>
        <family val="2"/>
      </rPr>
      <t xml:space="preserve">REVENUE </t>
    </r>
    <r>
      <rPr>
        <b/>
        <sz val="16"/>
        <rFont val="宋体"/>
        <family val="3"/>
        <charset val="134"/>
      </rPr>
      <t>收入</t>
    </r>
  </si>
  <si>
    <t>&lt;&lt;30100110..30100180</t>
  </si>
  <si>
    <t>&lt;&lt;LDTA,LDMW,LINW</t>
  </si>
  <si>
    <t>T&amp;A 旅行社</t>
  </si>
  <si>
    <t>&lt;&lt;TFIT,LWMM,ADV,TPKG,OPKG,TGDS,TWMM,TDMH</t>
  </si>
  <si>
    <t>FIT 散客</t>
  </si>
  <si>
    <t>&lt;&lt;TSMG,LDMA,VCOR,VSMF,VASS,GOT,VINC,LDSE,LISE,LINA</t>
  </si>
  <si>
    <t>Group 团队</t>
  </si>
  <si>
    <t>&lt;&lt;TCOR,COA,COB,COC,COS,OOWN,TIND,TPAR</t>
  </si>
  <si>
    <t>Corp 商务</t>
  </si>
  <si>
    <t>&lt;&lt;LSG</t>
  </si>
  <si>
    <r>
      <rPr>
        <sz val="16"/>
        <rFont val="Arial"/>
        <family val="2"/>
      </rPr>
      <t xml:space="preserve">Contract </t>
    </r>
    <r>
      <rPr>
        <sz val="16"/>
        <rFont val="微软雅黑"/>
        <family val="2"/>
        <charset val="134"/>
      </rPr>
      <t>合同</t>
    </r>
  </si>
  <si>
    <r>
      <rPr>
        <b/>
        <sz val="16"/>
        <rFont val="Arial"/>
        <family val="2"/>
      </rPr>
      <t xml:space="preserve">Rooms Revenue </t>
    </r>
    <r>
      <rPr>
        <b/>
        <sz val="16"/>
        <rFont val="宋体"/>
        <family val="3"/>
        <charset val="134"/>
      </rPr>
      <t>房费收入</t>
    </r>
  </si>
  <si>
    <t>&lt;&lt;38108100</t>
  </si>
  <si>
    <t>Service Charge 服务费</t>
  </si>
  <si>
    <t>&lt;&lt;30100190..30100192</t>
  </si>
  <si>
    <t>Other Revenue 其他收入</t>
  </si>
  <si>
    <r>
      <rPr>
        <b/>
        <sz val="16"/>
        <rFont val="Arial"/>
        <family val="2"/>
      </rPr>
      <t xml:space="preserve">Total Rooms Revenue </t>
    </r>
    <r>
      <rPr>
        <b/>
        <sz val="16"/>
        <rFont val="宋体"/>
        <family val="3"/>
        <charset val="134"/>
      </rPr>
      <t>客房收入合计</t>
    </r>
  </si>
  <si>
    <t>Rooms Sold付费房间数</t>
  </si>
  <si>
    <t>Total Rooms Sold总付费房间数</t>
  </si>
  <si>
    <t>Total Rooms 总房间数</t>
  </si>
  <si>
    <t>Paid Occupancy 付费房入住率</t>
  </si>
  <si>
    <t>Average Rate 平均房费</t>
  </si>
  <si>
    <t>&lt;&lt;10200,10300,10400,10099</t>
  </si>
  <si>
    <r>
      <rPr>
        <b/>
        <sz val="16"/>
        <rFont val="Arial"/>
        <family val="2"/>
      </rPr>
      <t xml:space="preserve">Total Labour Costs </t>
    </r>
    <r>
      <rPr>
        <b/>
        <sz val="16"/>
        <rFont val="宋体"/>
        <family val="3"/>
        <charset val="134"/>
      </rPr>
      <t>人工成本合计</t>
    </r>
  </si>
  <si>
    <r>
      <rPr>
        <b/>
        <sz val="16"/>
        <rFont val="Arial"/>
        <family val="2"/>
      </rPr>
      <t xml:space="preserve">OPERATING EXPENSES </t>
    </r>
    <r>
      <rPr>
        <b/>
        <sz val="16"/>
        <rFont val="宋体"/>
        <family val="3"/>
        <charset val="134"/>
      </rPr>
      <t>营运费用</t>
    </r>
  </si>
  <si>
    <t>CPOR</t>
  </si>
  <si>
    <t>&lt;&lt;60010011</t>
  </si>
  <si>
    <t>Comm - Travel Agents 佣金 - 旅行社</t>
  </si>
  <si>
    <t>&lt;&lt;60010012</t>
  </si>
  <si>
    <t>Comm - Reservation Assessments 客房系统预定费</t>
  </si>
  <si>
    <t>&lt;&lt;60010013</t>
  </si>
  <si>
    <t>Comm - DMH Reservation Fees DMH预订系统费用</t>
  </si>
  <si>
    <t>&lt;&lt;60010014</t>
  </si>
  <si>
    <t>Comm - Other 佣金 - 其他</t>
  </si>
  <si>
    <t>&lt;&lt;60010021</t>
  </si>
  <si>
    <t>Complimentaries - Give Away 免费赠送</t>
  </si>
  <si>
    <t>&lt;&lt;60010022</t>
  </si>
  <si>
    <t>Complimentary Food&amp;Beverage 免费餐饮</t>
  </si>
  <si>
    <t>&lt;&lt;60010030</t>
  </si>
  <si>
    <t>Competitor Survey竞争对手调研费</t>
  </si>
  <si>
    <t>&lt;&lt;60010040</t>
  </si>
  <si>
    <t>Contract Cleaning 清洁合同</t>
  </si>
  <si>
    <t>&lt;&lt;60010050</t>
  </si>
  <si>
    <t>Contract Services 服务合同</t>
  </si>
  <si>
    <t>&lt;&lt;60010060</t>
  </si>
  <si>
    <t>Promotion Decoration 推广装饰</t>
  </si>
  <si>
    <t>&lt;&lt;60010070</t>
  </si>
  <si>
    <t>Dues &amp; Subscriptions 会费/订阅</t>
  </si>
  <si>
    <t>&lt;&lt;60010080</t>
  </si>
  <si>
    <t>Entertainment 招待</t>
  </si>
  <si>
    <t>&lt;&lt;60010091</t>
  </si>
  <si>
    <t xml:space="preserve">Guest Relocation Expenses 客人搬家费 </t>
  </si>
  <si>
    <t>&lt;&lt;60010092</t>
  </si>
  <si>
    <t>Guest Supplies 客用品 - Cleaning 清洁</t>
  </si>
  <si>
    <t>&lt;&lt;60010093</t>
  </si>
  <si>
    <t>Guest Supplies 客用品 - Magazines&amp;Newspapers 杂志&amp;报纸</t>
  </si>
  <si>
    <t>&lt;&lt;60010094</t>
  </si>
  <si>
    <t>Guest Supplies 客用品 - Others 其他</t>
  </si>
  <si>
    <t>&lt;&lt;60010110</t>
  </si>
  <si>
    <t>Communication/Satellite/Cable 通讯/卫星/有线收视</t>
  </si>
  <si>
    <t>&lt;&lt;60010120</t>
  </si>
  <si>
    <t>Reservations Fees预订费</t>
  </si>
  <si>
    <t>&lt;&lt;60010130</t>
  </si>
  <si>
    <t>Pest Control 杀虫</t>
  </si>
  <si>
    <t>&lt;&lt;60011210</t>
  </si>
  <si>
    <t>Chinaware 瓷器</t>
  </si>
  <si>
    <t>&lt;&lt;60011220</t>
  </si>
  <si>
    <t>Cleaning Supplies&amp;Chemicals 清洁用品&amp;化学药剂</t>
  </si>
  <si>
    <t>&lt;&lt;60011230</t>
  </si>
  <si>
    <t>Flatware 餐具</t>
  </si>
  <si>
    <t>&lt;&lt;60011240</t>
  </si>
  <si>
    <t>Glassware 玻璃器皿</t>
  </si>
  <si>
    <t>&lt;&lt;60011250</t>
  </si>
  <si>
    <t>Linen 布巾</t>
  </si>
  <si>
    <t>&lt;&lt;60011260</t>
  </si>
  <si>
    <t>Silverware 银器</t>
  </si>
  <si>
    <t>&lt;&lt;60011270</t>
  </si>
  <si>
    <t>Other Operating Supplies 其他运营用品</t>
  </si>
  <si>
    <t>&lt;&lt;60011280</t>
  </si>
  <si>
    <t>Utensils 器具</t>
  </si>
  <si>
    <t>&lt;&lt;60011290</t>
  </si>
  <si>
    <t>Paper Supplies 纸张用品</t>
  </si>
  <si>
    <t>&lt;&lt;60011310</t>
  </si>
  <si>
    <t>Uniforms 制服</t>
  </si>
  <si>
    <t>&lt;&lt;60011320</t>
  </si>
  <si>
    <t>Laundry Supplies 洗衣用品</t>
  </si>
  <si>
    <t>&lt;&lt;60011410</t>
  </si>
  <si>
    <t>Flyers 传单</t>
  </si>
  <si>
    <t>&lt;&lt;60011420</t>
  </si>
  <si>
    <t>Menus &amp; Beverage Lists 菜单及饮料单</t>
  </si>
  <si>
    <t>&lt;&lt;60011430</t>
  </si>
  <si>
    <t>Food &amp; Beverage Promotions 餐饮促销</t>
  </si>
  <si>
    <t>&lt;&lt;60011440</t>
  </si>
  <si>
    <t>Promotional Gifts 推广礼品</t>
  </si>
  <si>
    <t>&lt;&lt;60011450</t>
  </si>
  <si>
    <t>Promotions 促销</t>
  </si>
  <si>
    <t>&lt;&lt;60011460</t>
  </si>
  <si>
    <t>Plant Hire 植物租摆</t>
  </si>
  <si>
    <t>&lt;&lt;60011470</t>
  </si>
  <si>
    <t>Music/Entertainment 音乐/娱乐</t>
  </si>
  <si>
    <t>&lt;&lt;60011480</t>
  </si>
  <si>
    <t>Banquet Expenses 宴会费用</t>
  </si>
  <si>
    <t>&lt;&lt;60011510</t>
  </si>
  <si>
    <t>Kitchen Fuel 厨房燃料</t>
  </si>
  <si>
    <t>&lt;&lt;60011520</t>
  </si>
  <si>
    <t>Hygiene 卫生</t>
  </si>
  <si>
    <t>&lt;&lt;60011530</t>
  </si>
  <si>
    <t>Medical/First Aid Expenses 急救费用</t>
  </si>
  <si>
    <t>&lt;&lt;60011540</t>
  </si>
  <si>
    <t>Equipment Rental 设备租金</t>
  </si>
  <si>
    <t>&lt;&lt;60011550</t>
  </si>
  <si>
    <t>Food Testing 食品测试</t>
  </si>
  <si>
    <t>&lt;&lt;60011561</t>
  </si>
  <si>
    <t>Oil 汽油</t>
  </si>
  <si>
    <t>&lt;&lt;60011562</t>
  </si>
  <si>
    <t>Vehicles Maintenance 车辆维修</t>
  </si>
  <si>
    <t>&lt;&lt;60011563</t>
  </si>
  <si>
    <t>Vehicle Insurance 车辆保险</t>
  </si>
  <si>
    <t>&lt;&lt;60011564</t>
  </si>
  <si>
    <t>Vehicle Tax 车辆税</t>
  </si>
  <si>
    <t>&lt;&lt;60011610</t>
  </si>
  <si>
    <t>Pool Supplies 泳池用品</t>
  </si>
  <si>
    <t>&lt;&lt;60011620</t>
  </si>
  <si>
    <t>General Supplies-GuestLaundry 一般用品-客衣</t>
  </si>
  <si>
    <t>&lt;&lt;60011910</t>
  </si>
  <si>
    <t>Staff Canteen-Food 员工餐厅食品</t>
  </si>
  <si>
    <t>&lt;&lt;60011920</t>
  </si>
  <si>
    <t>Staff Canteen-Beverage 员工餐厅饮料酒水</t>
  </si>
  <si>
    <t>&lt;&lt;60011930</t>
  </si>
  <si>
    <t>Dormitory Supplies 员工宿舍用品</t>
  </si>
  <si>
    <t>&lt;&lt;60012010</t>
  </si>
  <si>
    <t>Photocopy 复印费</t>
  </si>
  <si>
    <t>&lt;&lt;60012020</t>
  </si>
  <si>
    <t>Postage 邮费</t>
  </si>
  <si>
    <t>&lt;&lt;60012030</t>
  </si>
  <si>
    <t>Printing &amp; Stationery 印刷与文具</t>
  </si>
  <si>
    <t>&lt;&lt;60012040</t>
  </si>
  <si>
    <t>Internal Laundry 内部洗衣</t>
  </si>
  <si>
    <t>&lt;&lt;60012050</t>
  </si>
  <si>
    <t>Taskforce Expenses 外援费用</t>
  </si>
  <si>
    <t>&lt;&lt;60012060</t>
  </si>
  <si>
    <t>Telephone 电话费</t>
  </si>
  <si>
    <t>&lt;&lt;60012070</t>
  </si>
  <si>
    <t>Transportation 交通 - Guest 客人</t>
  </si>
  <si>
    <t>&lt;&lt;60012080</t>
  </si>
  <si>
    <t>Transportation 交通 - Staff 员工</t>
  </si>
  <si>
    <t>&lt;&lt;60012090</t>
  </si>
  <si>
    <t xml:space="preserve">Travelling Expenses 差旅费 </t>
  </si>
  <si>
    <t>&lt;&lt;60014101</t>
  </si>
  <si>
    <t>Lost &amp; Damaged 丢失与损坏</t>
  </si>
  <si>
    <t>&lt;&lt;60014102</t>
  </si>
  <si>
    <t>License Fee 执照/许可证费</t>
  </si>
  <si>
    <t>&lt;&lt;60014104</t>
  </si>
  <si>
    <t>Professional Services 专业服务</t>
  </si>
  <si>
    <t>&lt;&lt;60014115</t>
  </si>
  <si>
    <t>Supervision Fee 监管费</t>
  </si>
  <si>
    <t>&lt;&lt;60014117</t>
  </si>
  <si>
    <t>Corporate Office Charges 集团收费</t>
  </si>
  <si>
    <t>&lt;&lt;60011490</t>
  </si>
  <si>
    <t>Miscellaneous Expenses 杂项</t>
  </si>
  <si>
    <r>
      <rPr>
        <b/>
        <sz val="16"/>
        <rFont val="Arial"/>
        <family val="2"/>
      </rPr>
      <t xml:space="preserve">Total Operating Expenses </t>
    </r>
    <r>
      <rPr>
        <b/>
        <sz val="16"/>
        <rFont val="宋体"/>
        <family val="3"/>
        <charset val="134"/>
      </rPr>
      <t>营运费用合计</t>
    </r>
  </si>
  <si>
    <r>
      <rPr>
        <b/>
        <sz val="16"/>
        <rFont val="Arial"/>
        <family val="2"/>
      </rPr>
      <t xml:space="preserve">Department Profit/(Loss) </t>
    </r>
    <r>
      <rPr>
        <b/>
        <sz val="16"/>
        <rFont val="宋体"/>
        <family val="3"/>
        <charset val="134"/>
      </rPr>
      <t>部门利润（亏损）</t>
    </r>
  </si>
  <si>
    <r>
      <rPr>
        <b/>
        <sz val="16"/>
        <rFont val="Arial"/>
        <family val="2"/>
      </rPr>
      <t xml:space="preserve">Department Profit/(Loss)% </t>
    </r>
    <r>
      <rPr>
        <b/>
        <sz val="16"/>
        <rFont val="宋体"/>
        <family val="3"/>
        <charset val="134"/>
      </rPr>
      <t>部门利润（亏损）率</t>
    </r>
    <r>
      <rPr>
        <b/>
        <sz val="16"/>
        <rFont val="Arial"/>
        <family val="2"/>
      </rPr>
      <t>%</t>
    </r>
  </si>
  <si>
    <t>&lt;&lt;90010203</t>
  </si>
  <si>
    <r>
      <rPr>
        <b/>
        <sz val="16"/>
        <rFont val="Arial"/>
        <family val="2"/>
      </rPr>
      <t xml:space="preserve">Available Rooms </t>
    </r>
    <r>
      <rPr>
        <b/>
        <sz val="16"/>
        <rFont val="微软雅黑"/>
        <family val="2"/>
        <charset val="134"/>
      </rPr>
      <t>可用房数</t>
    </r>
  </si>
  <si>
    <t>&lt;&lt;90010208</t>
  </si>
  <si>
    <r>
      <rPr>
        <b/>
        <sz val="16"/>
        <rFont val="Arial"/>
        <family val="2"/>
      </rPr>
      <t xml:space="preserve">Out of Order Rooms </t>
    </r>
    <r>
      <rPr>
        <b/>
        <sz val="16"/>
        <rFont val="微软雅黑"/>
        <family val="2"/>
        <charset val="134"/>
      </rPr>
      <t>大修房数</t>
    </r>
  </si>
  <si>
    <t>&lt;&lt;90010209</t>
  </si>
  <si>
    <r>
      <rPr>
        <b/>
        <sz val="16"/>
        <rFont val="Arial"/>
        <family val="2"/>
      </rPr>
      <t xml:space="preserve">Out of Service Rooms </t>
    </r>
    <r>
      <rPr>
        <b/>
        <sz val="16"/>
        <rFont val="微软雅黑"/>
        <family val="2"/>
        <charset val="134"/>
      </rPr>
      <t>小维修房数</t>
    </r>
  </si>
  <si>
    <r>
      <rPr>
        <b/>
        <sz val="16"/>
        <rFont val="Arial"/>
        <family val="2"/>
      </rPr>
      <t xml:space="preserve">Room Sold </t>
    </r>
    <r>
      <rPr>
        <b/>
        <sz val="16"/>
        <rFont val="微软雅黑"/>
        <family val="2"/>
        <charset val="134"/>
      </rPr>
      <t>付费房数</t>
    </r>
  </si>
  <si>
    <t>&lt;&lt;90010206</t>
  </si>
  <si>
    <r>
      <rPr>
        <b/>
        <sz val="16"/>
        <rFont val="Arial"/>
        <family val="2"/>
      </rPr>
      <t xml:space="preserve">Complimentary Rooms </t>
    </r>
    <r>
      <rPr>
        <b/>
        <sz val="16"/>
        <rFont val="微软雅黑"/>
        <family val="2"/>
        <charset val="134"/>
      </rPr>
      <t>免费房数</t>
    </r>
  </si>
  <si>
    <t>&lt;&lt;90010207</t>
  </si>
  <si>
    <r>
      <rPr>
        <b/>
        <sz val="16"/>
        <rFont val="Arial"/>
        <family val="2"/>
      </rPr>
      <t xml:space="preserve">House Use Rooms </t>
    </r>
    <r>
      <rPr>
        <b/>
        <sz val="16"/>
        <rFont val="微软雅黑"/>
        <family val="2"/>
        <charset val="134"/>
      </rPr>
      <t>自用房数</t>
    </r>
  </si>
  <si>
    <r>
      <rPr>
        <b/>
        <sz val="16"/>
        <rFont val="Arial"/>
        <family val="2"/>
      </rPr>
      <t xml:space="preserve">Total Occupied Rooms </t>
    </r>
    <r>
      <rPr>
        <b/>
        <sz val="16"/>
        <rFont val="微软雅黑"/>
        <family val="2"/>
        <charset val="134"/>
      </rPr>
      <t>占用房间合计</t>
    </r>
  </si>
  <si>
    <r>
      <rPr>
        <b/>
        <sz val="16"/>
        <rFont val="Arial"/>
        <family val="2"/>
      </rPr>
      <t xml:space="preserve">Total Occupancy % </t>
    </r>
    <r>
      <rPr>
        <b/>
        <sz val="16"/>
        <rFont val="微软雅黑"/>
        <family val="2"/>
        <charset val="134"/>
      </rPr>
      <t>出租率合计</t>
    </r>
  </si>
  <si>
    <r>
      <rPr>
        <b/>
        <sz val="16"/>
        <rFont val="Arial"/>
        <family val="2"/>
      </rPr>
      <t xml:space="preserve">Paid Occupancy % </t>
    </r>
    <r>
      <rPr>
        <b/>
        <sz val="16"/>
        <rFont val="微软雅黑"/>
        <family val="2"/>
        <charset val="134"/>
      </rPr>
      <t>付费房出租率</t>
    </r>
  </si>
  <si>
    <r>
      <rPr>
        <b/>
        <sz val="16"/>
        <rFont val="Arial"/>
        <family val="2"/>
      </rPr>
      <t xml:space="preserve">RevPAR </t>
    </r>
    <r>
      <rPr>
        <b/>
        <sz val="16"/>
        <rFont val="微软雅黑"/>
        <family val="2"/>
        <charset val="134"/>
      </rPr>
      <t>每间房平均房费</t>
    </r>
  </si>
  <si>
    <r>
      <rPr>
        <b/>
        <sz val="16"/>
        <rFont val="Arial"/>
        <family val="2"/>
      </rPr>
      <t xml:space="preserve">Cost per Occupied Room </t>
    </r>
    <r>
      <rPr>
        <b/>
        <sz val="16"/>
        <rFont val="微软雅黑"/>
        <family val="2"/>
        <charset val="134"/>
      </rPr>
      <t>每个占用房间成本</t>
    </r>
  </si>
  <si>
    <r>
      <rPr>
        <b/>
        <sz val="16"/>
        <rFont val="Arial"/>
        <family val="2"/>
      </rPr>
      <t xml:space="preserve">LABOUR COST ANALYSIS </t>
    </r>
    <r>
      <rPr>
        <b/>
        <sz val="16"/>
        <rFont val="宋体"/>
        <family val="3"/>
        <charset val="134"/>
      </rPr>
      <t>人工成本费用</t>
    </r>
  </si>
  <si>
    <r>
      <rPr>
        <b/>
        <sz val="16"/>
        <rFont val="Arial"/>
        <family val="2"/>
      </rPr>
      <t xml:space="preserve">Salary &amp; Wages </t>
    </r>
    <r>
      <rPr>
        <b/>
        <sz val="16"/>
        <rFont val="宋体"/>
        <family val="3"/>
        <charset val="134"/>
      </rPr>
      <t>工资</t>
    </r>
  </si>
  <si>
    <t>&lt;&lt;50010300,50010400</t>
  </si>
  <si>
    <t>&lt;&lt;10099,10200,10300,10400</t>
  </si>
  <si>
    <r>
      <rPr>
        <sz val="16"/>
        <rFont val="Arial"/>
        <family val="2"/>
      </rPr>
      <t xml:space="preserve">Managers </t>
    </r>
    <r>
      <rPr>
        <sz val="16"/>
        <rFont val="微软雅黑"/>
        <family val="2"/>
        <charset val="134"/>
      </rPr>
      <t>经理</t>
    </r>
  </si>
  <si>
    <t>&lt;&lt;50010100..50010200,50010500..50010700,50012500..50012600</t>
  </si>
  <si>
    <t>&lt;&lt;10099,10200</t>
  </si>
  <si>
    <r>
      <rPr>
        <sz val="16"/>
        <rFont val="Arial"/>
        <family val="2"/>
      </rPr>
      <t xml:space="preserve">Front Office </t>
    </r>
    <r>
      <rPr>
        <sz val="16"/>
        <rFont val="宋体"/>
        <family val="3"/>
        <charset val="134"/>
      </rPr>
      <t>前厅</t>
    </r>
  </si>
  <si>
    <t>&lt;&lt;10300</t>
  </si>
  <si>
    <r>
      <rPr>
        <sz val="16"/>
        <rFont val="Arial"/>
        <family val="2"/>
      </rPr>
      <t xml:space="preserve">Housekeeping </t>
    </r>
    <r>
      <rPr>
        <sz val="16"/>
        <rFont val="宋体"/>
        <family val="3"/>
        <charset val="134"/>
      </rPr>
      <t>客房</t>
    </r>
  </si>
  <si>
    <t>&lt;&lt;10400</t>
  </si>
  <si>
    <r>
      <rPr>
        <sz val="16"/>
        <rFont val="Arial"/>
        <family val="2"/>
      </rPr>
      <t xml:space="preserve">Reservations </t>
    </r>
    <r>
      <rPr>
        <sz val="16"/>
        <rFont val="宋体"/>
        <family val="3"/>
        <charset val="134"/>
      </rPr>
      <t>预定</t>
    </r>
  </si>
  <si>
    <r>
      <rPr>
        <b/>
        <sz val="16"/>
        <rFont val="Arial"/>
        <family val="2"/>
      </rPr>
      <t xml:space="preserve">Total Remuneration </t>
    </r>
    <r>
      <rPr>
        <b/>
        <sz val="16"/>
        <rFont val="宋体"/>
        <family val="3"/>
        <charset val="134"/>
      </rPr>
      <t>薪酬小计</t>
    </r>
  </si>
  <si>
    <t>&lt;&lt;50012300</t>
  </si>
  <si>
    <r>
      <rPr>
        <sz val="16"/>
        <rFont val="Arial"/>
        <family val="2"/>
      </rPr>
      <t xml:space="preserve">Overtime </t>
    </r>
    <r>
      <rPr>
        <sz val="16"/>
        <rFont val="微软雅黑"/>
        <family val="2"/>
        <charset val="134"/>
      </rPr>
      <t>加班</t>
    </r>
  </si>
  <si>
    <t>&lt;&lt;50012100..50012200</t>
  </si>
  <si>
    <r>
      <rPr>
        <sz val="16"/>
        <rFont val="Arial"/>
        <family val="2"/>
      </rPr>
      <t xml:space="preserve">Bonus </t>
    </r>
    <r>
      <rPr>
        <sz val="16"/>
        <rFont val="微软雅黑"/>
        <family val="2"/>
        <charset val="134"/>
      </rPr>
      <t>年终奖金</t>
    </r>
  </si>
  <si>
    <t>&lt;&lt;50021270</t>
  </si>
  <si>
    <r>
      <rPr>
        <sz val="16"/>
        <rFont val="Arial"/>
        <family val="2"/>
      </rPr>
      <t xml:space="preserve">Allowance </t>
    </r>
    <r>
      <rPr>
        <sz val="16"/>
        <rFont val="微软雅黑"/>
        <family val="2"/>
        <charset val="134"/>
      </rPr>
      <t>津贴</t>
    </r>
  </si>
  <si>
    <t>&lt;&lt;50012400</t>
  </si>
  <si>
    <r>
      <rPr>
        <sz val="16"/>
        <rFont val="Arial"/>
        <family val="2"/>
      </rPr>
      <t xml:space="preserve">Vacation Pay </t>
    </r>
    <r>
      <rPr>
        <sz val="16"/>
        <rFont val="微软雅黑"/>
        <family val="2"/>
        <charset val="134"/>
      </rPr>
      <t>假期工资</t>
    </r>
  </si>
  <si>
    <t>&lt;&lt;50021280</t>
  </si>
  <si>
    <r>
      <rPr>
        <sz val="16"/>
        <rFont val="Arial"/>
        <family val="2"/>
      </rPr>
      <t xml:space="preserve">Incentive </t>
    </r>
    <r>
      <rPr>
        <sz val="16"/>
        <rFont val="微软雅黑"/>
        <family val="2"/>
        <charset val="134"/>
      </rPr>
      <t>奖金</t>
    </r>
  </si>
  <si>
    <r>
      <rPr>
        <b/>
        <sz val="16"/>
        <rFont val="Arial"/>
        <family val="2"/>
      </rPr>
      <t xml:space="preserve">Total Salary &amp; Wages </t>
    </r>
    <r>
      <rPr>
        <b/>
        <sz val="16"/>
        <rFont val="宋体"/>
        <family val="3"/>
        <charset val="134"/>
      </rPr>
      <t>工资合计</t>
    </r>
  </si>
  <si>
    <t>&lt;&lt;50013100</t>
  </si>
  <si>
    <r>
      <rPr>
        <sz val="16"/>
        <rFont val="Arial"/>
        <family val="2"/>
      </rPr>
      <t xml:space="preserve">PRC - Retirement Insurance </t>
    </r>
    <r>
      <rPr>
        <sz val="16"/>
        <rFont val="微软雅黑"/>
        <family val="2"/>
        <charset val="134"/>
      </rPr>
      <t>养老保险</t>
    </r>
  </si>
  <si>
    <t>&lt;&lt;50013200</t>
  </si>
  <si>
    <r>
      <rPr>
        <sz val="16"/>
        <rFont val="Arial"/>
        <family val="2"/>
      </rPr>
      <t xml:space="preserve">PRC - Basic Medical Insurance </t>
    </r>
    <r>
      <rPr>
        <sz val="16"/>
        <rFont val="微软雅黑"/>
        <family val="2"/>
        <charset val="134"/>
      </rPr>
      <t>医疗保险</t>
    </r>
  </si>
  <si>
    <t>&lt;&lt;50013300</t>
  </si>
  <si>
    <r>
      <rPr>
        <sz val="16"/>
        <rFont val="Arial"/>
        <family val="2"/>
      </rPr>
      <t xml:space="preserve">PRC - Unemployement fund </t>
    </r>
    <r>
      <rPr>
        <sz val="16"/>
        <rFont val="微软雅黑"/>
        <family val="2"/>
        <charset val="134"/>
      </rPr>
      <t>失业保险</t>
    </r>
  </si>
  <si>
    <t>&lt;&lt;50013400</t>
  </si>
  <si>
    <r>
      <rPr>
        <sz val="16"/>
        <rFont val="Arial"/>
        <family val="2"/>
      </rPr>
      <t xml:space="preserve">PRC - Employee Liability (Injury) </t>
    </r>
    <r>
      <rPr>
        <sz val="16"/>
        <rFont val="微软雅黑"/>
        <family val="2"/>
        <charset val="134"/>
      </rPr>
      <t>工伤保险</t>
    </r>
  </si>
  <si>
    <t>&lt;&lt;50013500</t>
  </si>
  <si>
    <r>
      <rPr>
        <sz val="16"/>
        <rFont val="Arial"/>
        <family val="2"/>
      </rPr>
      <t xml:space="preserve">PRC - Birth Insurance </t>
    </r>
    <r>
      <rPr>
        <sz val="16"/>
        <rFont val="微软雅黑"/>
        <family val="2"/>
        <charset val="134"/>
      </rPr>
      <t>生育保险</t>
    </r>
  </si>
  <si>
    <t>&lt;&lt;50013600</t>
  </si>
  <si>
    <r>
      <rPr>
        <sz val="16"/>
        <rFont val="Arial"/>
        <family val="2"/>
      </rPr>
      <t xml:space="preserve">PRC - Housing Fund </t>
    </r>
    <r>
      <rPr>
        <sz val="16"/>
        <rFont val="微软雅黑"/>
        <family val="2"/>
        <charset val="134"/>
      </rPr>
      <t>住房公积金</t>
    </r>
  </si>
  <si>
    <t>&lt;&lt;50013700</t>
  </si>
  <si>
    <r>
      <rPr>
        <sz val="16"/>
        <rFont val="Arial"/>
        <family val="2"/>
      </rPr>
      <t xml:space="preserve">PRC - Union Fee </t>
    </r>
    <r>
      <rPr>
        <sz val="16"/>
        <rFont val="微软雅黑"/>
        <family val="2"/>
        <charset val="134"/>
      </rPr>
      <t>工会经费</t>
    </r>
  </si>
  <si>
    <t>&lt;&lt;50013800</t>
  </si>
  <si>
    <r>
      <rPr>
        <sz val="16"/>
        <rFont val="Arial"/>
        <family val="2"/>
      </rPr>
      <t xml:space="preserve">PRC - Education Fund </t>
    </r>
    <r>
      <rPr>
        <sz val="16"/>
        <rFont val="微软雅黑"/>
        <family val="2"/>
        <charset val="134"/>
      </rPr>
      <t>教育经费</t>
    </r>
  </si>
  <si>
    <r>
      <rPr>
        <b/>
        <sz val="16"/>
        <rFont val="Arial"/>
        <family val="2"/>
      </rPr>
      <t xml:space="preserve">Total Social Security  </t>
    </r>
    <r>
      <rPr>
        <b/>
        <sz val="16"/>
        <rFont val="宋体"/>
        <family val="3"/>
        <charset val="134"/>
      </rPr>
      <t>社保合计</t>
    </r>
    <r>
      <rPr>
        <b/>
        <sz val="16"/>
        <rFont val="Arial"/>
        <family val="2"/>
      </rPr>
      <t xml:space="preserve"> </t>
    </r>
  </si>
  <si>
    <t>&lt;&lt;50021120</t>
  </si>
  <si>
    <r>
      <rPr>
        <sz val="16"/>
        <rFont val="Arial"/>
        <family val="2"/>
      </rPr>
      <t xml:space="preserve">Expats - Insurance </t>
    </r>
    <r>
      <rPr>
        <sz val="16"/>
        <rFont val="微软雅黑"/>
        <family val="2"/>
        <charset val="134"/>
      </rPr>
      <t>外籍保险</t>
    </r>
  </si>
  <si>
    <t>&lt;&lt;50021130</t>
  </si>
  <si>
    <r>
      <rPr>
        <sz val="16"/>
        <rFont val="Arial"/>
        <family val="2"/>
      </rPr>
      <t xml:space="preserve">Expats - Medical Insurance </t>
    </r>
    <r>
      <rPr>
        <sz val="16"/>
        <rFont val="微软雅黑"/>
        <family val="2"/>
        <charset val="134"/>
      </rPr>
      <t>外籍医疗保险</t>
    </r>
  </si>
  <si>
    <t>&lt;&lt;50021210</t>
  </si>
  <si>
    <r>
      <rPr>
        <sz val="16"/>
        <rFont val="Arial"/>
        <family val="2"/>
      </rPr>
      <t xml:space="preserve">Expats - Benefits </t>
    </r>
    <r>
      <rPr>
        <sz val="16"/>
        <rFont val="微软雅黑"/>
        <family val="2"/>
        <charset val="134"/>
      </rPr>
      <t>外籍福利</t>
    </r>
  </si>
  <si>
    <t>&lt;&lt;50021110</t>
  </si>
  <si>
    <r>
      <rPr>
        <sz val="16"/>
        <rFont val="Arial"/>
        <family val="2"/>
      </rPr>
      <t xml:space="preserve">Local - Business Insurance </t>
    </r>
    <r>
      <rPr>
        <sz val="16"/>
        <rFont val="微软雅黑"/>
        <family val="2"/>
        <charset val="134"/>
      </rPr>
      <t>本地员工商业保险</t>
    </r>
  </si>
  <si>
    <t>&lt;&lt;50021290</t>
  </si>
  <si>
    <r>
      <rPr>
        <sz val="16"/>
        <rFont val="Arial"/>
        <family val="2"/>
      </rPr>
      <t xml:space="preserve">Other Benefits </t>
    </r>
    <r>
      <rPr>
        <sz val="16"/>
        <rFont val="微软雅黑"/>
        <family val="2"/>
        <charset val="134"/>
      </rPr>
      <t>其他福利</t>
    </r>
  </si>
  <si>
    <t>&lt;&lt;50032001..50032004</t>
  </si>
  <si>
    <r>
      <rPr>
        <sz val="16"/>
        <rFont val="Arial"/>
        <family val="2"/>
      </rPr>
      <t xml:space="preserve">Staff Dormitory &amp; Related Expenses </t>
    </r>
    <r>
      <rPr>
        <sz val="16"/>
        <rFont val="微软雅黑"/>
        <family val="2"/>
        <charset val="134"/>
      </rPr>
      <t>员工宿舍及相关费用</t>
    </r>
  </si>
  <si>
    <t>&lt;&lt;50031001,50021500</t>
  </si>
  <si>
    <r>
      <rPr>
        <sz val="16"/>
        <rFont val="Arial"/>
        <family val="2"/>
      </rPr>
      <t xml:space="preserve">Staff Cateen Allocation &amp; OC </t>
    </r>
    <r>
      <rPr>
        <sz val="16"/>
        <rFont val="微软雅黑"/>
        <family val="2"/>
        <charset val="134"/>
      </rPr>
      <t>员工餐费</t>
    </r>
  </si>
  <si>
    <r>
      <rPr>
        <b/>
        <sz val="16"/>
        <rFont val="Arial"/>
        <family val="2"/>
      </rPr>
      <t xml:space="preserve">Total Benefits </t>
    </r>
    <r>
      <rPr>
        <b/>
        <sz val="16"/>
        <rFont val="宋体"/>
        <family val="3"/>
        <charset val="134"/>
      </rPr>
      <t>福利合计</t>
    </r>
  </si>
  <si>
    <r>
      <rPr>
        <b/>
        <sz val="16"/>
        <rFont val="Arial"/>
        <family val="2"/>
      </rPr>
      <t xml:space="preserve">TOTAL LABOUR COST </t>
    </r>
    <r>
      <rPr>
        <b/>
        <sz val="16"/>
        <rFont val="宋体"/>
        <family val="3"/>
        <charset val="134"/>
      </rPr>
      <t>人工成本合计</t>
    </r>
  </si>
  <si>
    <t>check</t>
  </si>
  <si>
    <t>Check(Hide)</t>
  </si>
  <si>
    <r>
      <rPr>
        <b/>
        <sz val="16"/>
        <rFont val="Arial"/>
        <family val="2"/>
      </rPr>
      <t xml:space="preserve">FTEs </t>
    </r>
    <r>
      <rPr>
        <b/>
        <sz val="16"/>
        <rFont val="宋体"/>
        <family val="3"/>
        <charset val="134"/>
      </rPr>
      <t>员工人数</t>
    </r>
  </si>
  <si>
    <r>
      <rPr>
        <b/>
        <sz val="18"/>
        <rFont val="Arial"/>
        <family val="2"/>
      </rPr>
      <t xml:space="preserve">Rooms Summary </t>
    </r>
    <r>
      <rPr>
        <b/>
        <sz val="18"/>
        <rFont val="微软雅黑"/>
        <family val="2"/>
        <charset val="134"/>
      </rPr>
      <t>前厅部损益</t>
    </r>
  </si>
  <si>
    <t>&lt;&lt;10200</t>
  </si>
  <si>
    <r>
      <rPr>
        <b/>
        <sz val="16"/>
        <rFont val="Arial"/>
        <family val="2"/>
      </rPr>
      <t>Total Department Expenses</t>
    </r>
    <r>
      <rPr>
        <b/>
        <sz val="16"/>
        <rFont val="宋体"/>
        <family val="3"/>
        <charset val="134"/>
      </rPr>
      <t>部门总费用合计</t>
    </r>
  </si>
  <si>
    <r>
      <rPr>
        <b/>
        <sz val="18"/>
        <rFont val="Arial"/>
        <family val="2"/>
      </rPr>
      <t xml:space="preserve">Rooms Summary </t>
    </r>
    <r>
      <rPr>
        <b/>
        <sz val="18"/>
        <rFont val="微软雅黑"/>
        <family val="2"/>
        <charset val="134"/>
      </rPr>
      <t>客房部损益</t>
    </r>
  </si>
  <si>
    <t>Housekeeping 客房</t>
  </si>
  <si>
    <r>
      <rPr>
        <b/>
        <sz val="18"/>
        <rFont val="Arial"/>
        <family val="2"/>
      </rPr>
      <t xml:space="preserve">Rooms Summary </t>
    </r>
    <r>
      <rPr>
        <b/>
        <sz val="18"/>
        <rFont val="微软雅黑"/>
        <family val="2"/>
        <charset val="134"/>
      </rPr>
      <t>预订部损益</t>
    </r>
  </si>
  <si>
    <t>Reservations 预定</t>
  </si>
  <si>
    <t>&lt;&lt;10099</t>
  </si>
  <si>
    <t>A+F+B</t>
  </si>
  <si>
    <t>F&amp;B Summary 餐饮部损益</t>
  </si>
  <si>
    <t>L3</t>
  </si>
  <si>
    <r>
      <rPr>
        <b/>
        <sz val="16"/>
        <rFont val="Arial"/>
        <family val="2"/>
      </rPr>
      <t xml:space="preserve">FOOD REVENUE </t>
    </r>
    <r>
      <rPr>
        <b/>
        <sz val="16"/>
        <rFont val="宋体"/>
        <family val="3"/>
        <charset val="134"/>
      </rPr>
      <t>食品收入</t>
    </r>
  </si>
  <si>
    <t>&lt;&lt;30200210..30200250,30210210..30210250,30220210..30220250</t>
  </si>
  <si>
    <t>&lt;&lt;20101,20102</t>
  </si>
  <si>
    <t>Lobby Lounge</t>
  </si>
  <si>
    <t>&lt;&lt;20201,20202</t>
  </si>
  <si>
    <t>ADD-Mhub lounge</t>
  </si>
  <si>
    <t>&lt;&lt;20301,20302</t>
  </si>
  <si>
    <t xml:space="preserve"> Royal Court</t>
  </si>
  <si>
    <t>&lt;&lt;20401,20402</t>
  </si>
  <si>
    <t>MP Café</t>
  </si>
  <si>
    <t>&lt;&lt;20501,20502</t>
  </si>
  <si>
    <t>MP Dining</t>
  </si>
  <si>
    <t>&lt;&lt;20601,20602</t>
  </si>
  <si>
    <t>Special Restaurant#4</t>
  </si>
  <si>
    <t>&lt;&lt;20701,20702</t>
  </si>
  <si>
    <t>Special Restaurant#5</t>
  </si>
  <si>
    <t>&lt;&lt;20801,20802</t>
  </si>
  <si>
    <t>Special Restaurant#6</t>
  </si>
  <si>
    <t>&lt;&lt;20901,20902</t>
  </si>
  <si>
    <t>Special Restaurant#7</t>
  </si>
  <si>
    <t>&lt;&lt;21101</t>
  </si>
  <si>
    <t>&lt;&lt;22101</t>
  </si>
  <si>
    <t>Bar#1</t>
  </si>
  <si>
    <t>&lt;&lt;22102</t>
  </si>
  <si>
    <t>Bar#2</t>
  </si>
  <si>
    <t>&lt;&lt;22103</t>
  </si>
  <si>
    <t>Bar#3</t>
  </si>
  <si>
    <t>&lt;&lt;23101,23102</t>
  </si>
  <si>
    <t>Room Service</t>
  </si>
  <si>
    <t>&lt;&lt;24111..24116,24121,24200</t>
  </si>
  <si>
    <t>Banquet</t>
  </si>
  <si>
    <r>
      <rPr>
        <b/>
        <sz val="16"/>
        <rFont val="Arial"/>
        <family val="2"/>
      </rPr>
      <t xml:space="preserve">Total Food Revenue </t>
    </r>
    <r>
      <rPr>
        <b/>
        <sz val="16"/>
        <rFont val="宋体"/>
        <family val="3"/>
        <charset val="134"/>
      </rPr>
      <t>食品收入合计</t>
    </r>
  </si>
  <si>
    <r>
      <rPr>
        <b/>
        <sz val="16"/>
        <rFont val="Arial"/>
        <family val="2"/>
      </rPr>
      <t xml:space="preserve">BEVERAGE REVENUE </t>
    </r>
    <r>
      <rPr>
        <b/>
        <sz val="16"/>
        <rFont val="宋体"/>
        <family val="3"/>
        <charset val="134"/>
      </rPr>
      <t>饮品收入</t>
    </r>
  </si>
  <si>
    <t>&lt;&lt;30300310..30300350,30310310..30310350,30320310..30320350</t>
  </si>
  <si>
    <t>The Lounge</t>
  </si>
  <si>
    <r>
      <rPr>
        <b/>
        <sz val="16"/>
        <rFont val="Arial"/>
        <family val="2"/>
      </rPr>
      <t xml:space="preserve">Total Beverage Revenue </t>
    </r>
    <r>
      <rPr>
        <b/>
        <sz val="16"/>
        <rFont val="宋体"/>
        <family val="3"/>
        <charset val="134"/>
      </rPr>
      <t>饮品收入合计</t>
    </r>
  </si>
  <si>
    <t>&lt;&lt;30400040</t>
  </si>
  <si>
    <t>&lt;&lt;2..29999</t>
  </si>
  <si>
    <r>
      <rPr>
        <sz val="16"/>
        <rFont val="Arial"/>
        <family val="2"/>
      </rPr>
      <t xml:space="preserve">Meeting Rooms Rental </t>
    </r>
    <r>
      <rPr>
        <sz val="16"/>
        <rFont val="宋体"/>
        <family val="3"/>
        <charset val="134"/>
      </rPr>
      <t>会议室租赁</t>
    </r>
  </si>
  <si>
    <t>&lt;&lt;30320360..30320380</t>
  </si>
  <si>
    <r>
      <rPr>
        <sz val="16"/>
        <rFont val="Arial"/>
        <family val="2"/>
      </rPr>
      <t xml:space="preserve">Mini Bar </t>
    </r>
    <r>
      <rPr>
        <sz val="16"/>
        <rFont val="宋体"/>
        <family val="3"/>
        <charset val="134"/>
      </rPr>
      <t>迷你吧</t>
    </r>
  </si>
  <si>
    <t>&lt;&lt;30320400..30320402,30320990..30320992,30400050</t>
  </si>
  <si>
    <r>
      <rPr>
        <sz val="16"/>
        <rFont val="Arial"/>
        <family val="2"/>
      </rPr>
      <t xml:space="preserve">Other Revenue </t>
    </r>
    <r>
      <rPr>
        <sz val="16"/>
        <rFont val="宋体"/>
        <family val="3"/>
        <charset val="134"/>
      </rPr>
      <t>其他餐饮收入</t>
    </r>
  </si>
  <si>
    <r>
      <rPr>
        <sz val="16"/>
        <rFont val="Arial"/>
        <family val="2"/>
      </rPr>
      <t xml:space="preserve">Service Charge </t>
    </r>
    <r>
      <rPr>
        <sz val="16"/>
        <rFont val="宋体"/>
        <family val="3"/>
        <charset val="134"/>
      </rPr>
      <t>服务费</t>
    </r>
  </si>
  <si>
    <r>
      <rPr>
        <b/>
        <sz val="16"/>
        <rFont val="Arial"/>
        <family val="2"/>
      </rPr>
      <t xml:space="preserve">Total F&amp;B Revenue </t>
    </r>
    <r>
      <rPr>
        <b/>
        <sz val="16"/>
        <rFont val="宋体"/>
        <family val="3"/>
        <charset val="134"/>
      </rPr>
      <t>餐饮收入合计</t>
    </r>
  </si>
  <si>
    <t>COST</t>
  </si>
  <si>
    <t>&lt;&lt;40200100</t>
  </si>
  <si>
    <t>Food Cost 食品成本</t>
  </si>
  <si>
    <t>&lt;&lt;40200200</t>
  </si>
  <si>
    <t>Beverage Cost 酒水成本</t>
  </si>
  <si>
    <t>&lt;&lt;40200400</t>
  </si>
  <si>
    <t>Mini Bar Cost 迷你吧成本</t>
  </si>
  <si>
    <t>&lt;&lt;40020300,40200190</t>
  </si>
  <si>
    <r>
      <rPr>
        <sz val="16"/>
        <rFont val="Arial"/>
        <family val="2"/>
      </rPr>
      <t xml:space="preserve">Other Cost </t>
    </r>
    <r>
      <rPr>
        <sz val="16"/>
        <rFont val="宋体"/>
        <family val="3"/>
        <charset val="134"/>
      </rPr>
      <t>其他杂项成本</t>
    </r>
  </si>
  <si>
    <r>
      <rPr>
        <b/>
        <sz val="16"/>
        <rFont val="Arial"/>
        <family val="2"/>
      </rPr>
      <t xml:space="preserve">Total Cost of Sales </t>
    </r>
    <r>
      <rPr>
        <b/>
        <sz val="16"/>
        <rFont val="宋体"/>
        <family val="3"/>
        <charset val="134"/>
      </rPr>
      <t>餐饮成本合计</t>
    </r>
  </si>
  <si>
    <t>CPC</t>
  </si>
  <si>
    <t>&lt;&lt;60011570</t>
  </si>
  <si>
    <t>Management Fees 管理费用</t>
  </si>
  <si>
    <r>
      <rPr>
        <b/>
        <sz val="16"/>
        <rFont val="Arial"/>
        <family val="2"/>
      </rPr>
      <t xml:space="preserve">COVERS </t>
    </r>
    <r>
      <rPr>
        <b/>
        <sz val="16"/>
        <rFont val="宋体"/>
        <family val="3"/>
        <charset val="134"/>
      </rPr>
      <t>消费人数</t>
    </r>
  </si>
  <si>
    <t>&lt;&lt;90010321..90010325,90010400..90010409</t>
  </si>
  <si>
    <t>The Loungee</t>
  </si>
  <si>
    <r>
      <rPr>
        <b/>
        <sz val="16"/>
        <rFont val="Arial"/>
        <family val="2"/>
      </rPr>
      <t xml:space="preserve">Total Covers </t>
    </r>
    <r>
      <rPr>
        <b/>
        <sz val="16"/>
        <rFont val="微软雅黑"/>
        <family val="2"/>
        <charset val="134"/>
      </rPr>
      <t>消费人数合计</t>
    </r>
  </si>
  <si>
    <r>
      <rPr>
        <b/>
        <sz val="16"/>
        <rFont val="Arial"/>
        <family val="2"/>
      </rPr>
      <t xml:space="preserve">Average Check </t>
    </r>
    <r>
      <rPr>
        <b/>
        <sz val="16"/>
        <rFont val="宋体"/>
        <family val="3"/>
        <charset val="134"/>
      </rPr>
      <t>平均消费</t>
    </r>
  </si>
  <si>
    <r>
      <rPr>
        <b/>
        <sz val="16"/>
        <rFont val="Arial"/>
        <family val="2"/>
      </rPr>
      <t xml:space="preserve">Average Check </t>
    </r>
    <r>
      <rPr>
        <b/>
        <sz val="16"/>
        <rFont val="微软雅黑"/>
        <family val="2"/>
        <charset val="134"/>
      </rPr>
      <t>平均消费</t>
    </r>
  </si>
  <si>
    <r>
      <rPr>
        <b/>
        <sz val="16"/>
        <rFont val="Arial"/>
        <family val="2"/>
      </rPr>
      <t xml:space="preserve">Cost Per Cover </t>
    </r>
    <r>
      <rPr>
        <b/>
        <sz val="16"/>
        <rFont val="宋体"/>
        <family val="3"/>
        <charset val="134"/>
      </rPr>
      <t>人均成本</t>
    </r>
  </si>
  <si>
    <r>
      <rPr>
        <b/>
        <sz val="16"/>
        <rFont val="Arial"/>
        <family val="2"/>
      </rPr>
      <t xml:space="preserve">Salary &amp; Wages </t>
    </r>
    <r>
      <rPr>
        <b/>
        <sz val="16"/>
        <rFont val="宋体"/>
        <family val="3"/>
        <charset val="134"/>
      </rPr>
      <t>工资费用</t>
    </r>
  </si>
  <si>
    <t>&lt;&lt;2.299999</t>
  </si>
  <si>
    <t>&lt;&lt;20001,20101,20201,20301,20401,20501,20601,20701,20801,20901,21101,22101,22102,23101,24111</t>
  </si>
  <si>
    <r>
      <rPr>
        <sz val="16"/>
        <rFont val="Arial"/>
        <family val="2"/>
      </rPr>
      <t xml:space="preserve">Services </t>
    </r>
    <r>
      <rPr>
        <sz val="16"/>
        <rFont val="微软雅黑"/>
        <family val="2"/>
        <charset val="134"/>
      </rPr>
      <t>服务</t>
    </r>
  </si>
  <si>
    <t>&lt;&lt;20002,20102,20202,20302,20402,20502,20602,20702,20802,20902,23102,24200,27101</t>
  </si>
  <si>
    <r>
      <rPr>
        <sz val="16"/>
        <rFont val="Arial"/>
        <family val="2"/>
      </rPr>
      <t xml:space="preserve">Kitchen </t>
    </r>
    <r>
      <rPr>
        <sz val="16"/>
        <rFont val="微软雅黑"/>
        <family val="2"/>
        <charset val="134"/>
      </rPr>
      <t>厨房</t>
    </r>
  </si>
  <si>
    <r>
      <rPr>
        <b/>
        <sz val="16"/>
        <rFont val="Arial"/>
        <family val="2"/>
      </rPr>
      <t xml:space="preserve">Total Remuneration </t>
    </r>
    <r>
      <rPr>
        <b/>
        <sz val="16"/>
        <rFont val="宋体"/>
        <family val="3"/>
        <charset val="134"/>
      </rPr>
      <t>薪酬合计</t>
    </r>
  </si>
  <si>
    <t>Lobby Lounge 大堂吧损益</t>
  </si>
  <si>
    <t>&lt;&lt;30200210,30210210,30220210</t>
  </si>
  <si>
    <t>Breakfast</t>
  </si>
  <si>
    <t>&lt;&lt;30200220,30210220,30220220</t>
  </si>
  <si>
    <t xml:space="preserve">Lunch </t>
  </si>
  <si>
    <t>&lt;&lt;30200230,30210230,30220230</t>
  </si>
  <si>
    <t>Dinner</t>
  </si>
  <si>
    <t>&lt;&lt;30200240,30210240,30220240</t>
  </si>
  <si>
    <t>Afternoon Tea</t>
  </si>
  <si>
    <t>&lt;&lt;30200250,30210250,30220250</t>
  </si>
  <si>
    <t>Late Snack</t>
  </si>
  <si>
    <t>&lt;&lt;30300310,30310310,30320310</t>
  </si>
  <si>
    <t>&lt;&lt;30300320,30310320,30320320</t>
  </si>
  <si>
    <t>&lt;&lt;30300330,30310330,30320330</t>
  </si>
  <si>
    <t>&lt;&lt;30300340,30310340,30320340</t>
  </si>
  <si>
    <t>&lt;&lt;30300350,30310350,30320350</t>
  </si>
  <si>
    <t>&lt;&lt;40200300</t>
  </si>
  <si>
    <t>&lt;&lt;60990010</t>
  </si>
  <si>
    <t>In-direct Expenses</t>
  </si>
  <si>
    <t>&lt;&lt;90010321,90010400..90010401</t>
  </si>
  <si>
    <t>&lt;&lt;90010322,90010402..90010403</t>
  </si>
  <si>
    <t>&lt;&lt;90010323,90010404..90010405</t>
  </si>
  <si>
    <t>&lt;&lt;90010324,90010406..90010407</t>
  </si>
  <si>
    <t>&lt;&lt;90010325,90010408..90010409</t>
  </si>
  <si>
    <t>Royal Court 御苑损益</t>
  </si>
  <si>
    <r>
      <rPr>
        <sz val="16"/>
        <rFont val="Arial"/>
        <family val="2"/>
      </rPr>
      <t xml:space="preserve">Other Cost </t>
    </r>
    <r>
      <rPr>
        <sz val="16"/>
        <rFont val="宋体"/>
        <family val="3"/>
        <charset val="134"/>
      </rPr>
      <t>其他成本</t>
    </r>
  </si>
  <si>
    <t>Distributed 分摊</t>
  </si>
  <si>
    <t>Main Kitchen 主厨房</t>
  </si>
  <si>
    <t>&lt;&lt;5..5999999</t>
  </si>
  <si>
    <t>&lt;&lt;20002</t>
  </si>
  <si>
    <t>60010011</t>
  </si>
  <si>
    <r>
      <rPr>
        <sz val="16"/>
        <rFont val="Arial"/>
        <family val="2"/>
      </rPr>
      <t xml:space="preserve">Comm - Travel Agents </t>
    </r>
    <r>
      <rPr>
        <sz val="16"/>
        <rFont val="微软雅黑"/>
        <family val="2"/>
        <charset val="134"/>
      </rPr>
      <t>佣金</t>
    </r>
    <r>
      <rPr>
        <sz val="16"/>
        <rFont val="Arial"/>
        <family val="2"/>
      </rPr>
      <t xml:space="preserve"> - </t>
    </r>
    <r>
      <rPr>
        <sz val="16"/>
        <rFont val="微软雅黑"/>
        <family val="2"/>
        <charset val="134"/>
      </rPr>
      <t>旅行社</t>
    </r>
  </si>
  <si>
    <t>60010012</t>
  </si>
  <si>
    <r>
      <rPr>
        <sz val="16"/>
        <rFont val="Arial"/>
        <family val="2"/>
      </rPr>
      <t xml:space="preserve"> Comm - Reservation Assessments </t>
    </r>
    <r>
      <rPr>
        <sz val="16"/>
        <rFont val="微软雅黑"/>
        <family val="2"/>
        <charset val="134"/>
      </rPr>
      <t>客房系统预定费</t>
    </r>
  </si>
  <si>
    <t>60010013</t>
  </si>
  <si>
    <r>
      <rPr>
        <sz val="16"/>
        <rFont val="Arial"/>
        <family val="2"/>
      </rPr>
      <t>Comm - DMH Reservation Fees DMH</t>
    </r>
    <r>
      <rPr>
        <sz val="16"/>
        <rFont val="微软雅黑"/>
        <family val="2"/>
        <charset val="134"/>
      </rPr>
      <t>预订系统费用</t>
    </r>
  </si>
  <si>
    <t>60010014</t>
  </si>
  <si>
    <r>
      <rPr>
        <sz val="16"/>
        <rFont val="Arial"/>
        <family val="2"/>
      </rPr>
      <t xml:space="preserve">Comm - Other </t>
    </r>
    <r>
      <rPr>
        <sz val="16"/>
        <rFont val="微软雅黑"/>
        <family val="2"/>
        <charset val="134"/>
      </rPr>
      <t>佣金</t>
    </r>
    <r>
      <rPr>
        <sz val="16"/>
        <rFont val="Arial"/>
        <family val="2"/>
      </rPr>
      <t xml:space="preserve"> - </t>
    </r>
    <r>
      <rPr>
        <sz val="16"/>
        <rFont val="微软雅黑"/>
        <family val="2"/>
        <charset val="134"/>
      </rPr>
      <t>其他</t>
    </r>
  </si>
  <si>
    <t>60010021</t>
  </si>
  <si>
    <r>
      <rPr>
        <sz val="16"/>
        <rFont val="Arial"/>
        <family val="2"/>
      </rPr>
      <t xml:space="preserve">Complimentaries - Give Away </t>
    </r>
    <r>
      <rPr>
        <sz val="16"/>
        <rFont val="微软雅黑"/>
        <family val="2"/>
        <charset val="134"/>
      </rPr>
      <t>免费赠送</t>
    </r>
  </si>
  <si>
    <t>60010022</t>
  </si>
  <si>
    <r>
      <rPr>
        <sz val="16"/>
        <rFont val="Arial"/>
        <family val="2"/>
      </rPr>
      <t xml:space="preserve">Complimentary Food&amp;Beverage </t>
    </r>
    <r>
      <rPr>
        <sz val="16"/>
        <rFont val="微软雅黑"/>
        <family val="2"/>
        <charset val="134"/>
      </rPr>
      <t>免费餐饮</t>
    </r>
  </si>
  <si>
    <t>60010030</t>
  </si>
  <si>
    <r>
      <rPr>
        <sz val="16"/>
        <rFont val="Arial"/>
        <family val="2"/>
      </rPr>
      <t>Competitor Survey</t>
    </r>
    <r>
      <rPr>
        <sz val="16"/>
        <rFont val="微软雅黑"/>
        <family val="2"/>
        <charset val="134"/>
      </rPr>
      <t>竞争对手调研费</t>
    </r>
  </si>
  <si>
    <t>60010040</t>
  </si>
  <si>
    <r>
      <rPr>
        <sz val="16"/>
        <rFont val="Arial"/>
        <family val="2"/>
      </rPr>
      <t xml:space="preserve">Contract Cleaning </t>
    </r>
    <r>
      <rPr>
        <sz val="16"/>
        <rFont val="微软雅黑"/>
        <family val="2"/>
        <charset val="134"/>
      </rPr>
      <t>清洁合同</t>
    </r>
  </si>
  <si>
    <t>60010050</t>
  </si>
  <si>
    <r>
      <rPr>
        <sz val="16"/>
        <rFont val="Arial"/>
        <family val="2"/>
      </rPr>
      <t xml:space="preserve">Contract Services </t>
    </r>
    <r>
      <rPr>
        <sz val="16"/>
        <rFont val="微软雅黑"/>
        <family val="2"/>
        <charset val="134"/>
      </rPr>
      <t>服务合同</t>
    </r>
  </si>
  <si>
    <t>60010060</t>
  </si>
  <si>
    <r>
      <rPr>
        <sz val="16"/>
        <rFont val="Arial"/>
        <family val="2"/>
      </rPr>
      <t xml:space="preserve">Promotion Decoration </t>
    </r>
    <r>
      <rPr>
        <sz val="16"/>
        <rFont val="微软雅黑"/>
        <family val="2"/>
        <charset val="134"/>
      </rPr>
      <t>推广装饰</t>
    </r>
  </si>
  <si>
    <t>60010070</t>
  </si>
  <si>
    <r>
      <rPr>
        <sz val="16"/>
        <rFont val="Arial"/>
        <family val="2"/>
      </rPr>
      <t xml:space="preserve">Dues &amp; Subscriptions </t>
    </r>
    <r>
      <rPr>
        <sz val="16"/>
        <rFont val="微软雅黑"/>
        <family val="2"/>
        <charset val="134"/>
      </rPr>
      <t>会费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订阅</t>
    </r>
  </si>
  <si>
    <t>60010080</t>
  </si>
  <si>
    <r>
      <rPr>
        <sz val="16"/>
        <rFont val="Arial"/>
        <family val="2"/>
      </rPr>
      <t xml:space="preserve">Entertainment </t>
    </r>
    <r>
      <rPr>
        <sz val="16"/>
        <rFont val="微软雅黑"/>
        <family val="2"/>
        <charset val="134"/>
      </rPr>
      <t>招待</t>
    </r>
  </si>
  <si>
    <t>60010091</t>
  </si>
  <si>
    <r>
      <rPr>
        <sz val="16"/>
        <rFont val="Arial"/>
        <family val="2"/>
      </rPr>
      <t xml:space="preserve">Guest Relocation Expenses </t>
    </r>
    <r>
      <rPr>
        <sz val="16"/>
        <rFont val="微软雅黑"/>
        <family val="2"/>
        <charset val="134"/>
      </rPr>
      <t>客人搬家费</t>
    </r>
    <r>
      <rPr>
        <sz val="16"/>
        <rFont val="Arial"/>
        <family val="2"/>
      </rPr>
      <t xml:space="preserve"> </t>
    </r>
  </si>
  <si>
    <t>60010092</t>
  </si>
  <si>
    <r>
      <rPr>
        <sz val="16"/>
        <rFont val="Arial"/>
        <family val="2"/>
      </rPr>
      <t xml:space="preserve">Guest Supplies </t>
    </r>
    <r>
      <rPr>
        <sz val="16"/>
        <rFont val="微软雅黑"/>
        <family val="2"/>
        <charset val="134"/>
      </rPr>
      <t>客用品</t>
    </r>
    <r>
      <rPr>
        <sz val="16"/>
        <rFont val="Arial"/>
        <family val="2"/>
      </rPr>
      <t xml:space="preserve"> - Cleaning </t>
    </r>
    <r>
      <rPr>
        <sz val="16"/>
        <rFont val="微软雅黑"/>
        <family val="2"/>
        <charset val="134"/>
      </rPr>
      <t>清洁</t>
    </r>
  </si>
  <si>
    <t>60010093</t>
  </si>
  <si>
    <t>60010094</t>
  </si>
  <si>
    <t>60010110</t>
  </si>
  <si>
    <r>
      <rPr>
        <sz val="16"/>
        <rFont val="Arial"/>
        <family val="2"/>
      </rPr>
      <t xml:space="preserve">Communication/Satellite/Cable </t>
    </r>
    <r>
      <rPr>
        <sz val="16"/>
        <rFont val="微软雅黑"/>
        <family val="2"/>
        <charset val="134"/>
      </rPr>
      <t>通讯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卫星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有线收视</t>
    </r>
  </si>
  <si>
    <t>60010120</t>
  </si>
  <si>
    <r>
      <rPr>
        <sz val="16"/>
        <rFont val="Arial"/>
        <family val="2"/>
      </rPr>
      <t>Reservations Fees</t>
    </r>
    <r>
      <rPr>
        <sz val="16"/>
        <rFont val="微软雅黑"/>
        <family val="2"/>
        <charset val="134"/>
      </rPr>
      <t>预订费</t>
    </r>
  </si>
  <si>
    <t>60010130</t>
  </si>
  <si>
    <r>
      <rPr>
        <sz val="16"/>
        <rFont val="Arial"/>
        <family val="2"/>
      </rPr>
      <t xml:space="preserve">Pest Control </t>
    </r>
    <r>
      <rPr>
        <sz val="16"/>
        <rFont val="微软雅黑"/>
        <family val="2"/>
        <charset val="134"/>
      </rPr>
      <t>杀虫</t>
    </r>
  </si>
  <si>
    <t>60011210</t>
  </si>
  <si>
    <r>
      <rPr>
        <sz val="16"/>
        <rFont val="Arial"/>
        <family val="2"/>
      </rPr>
      <t xml:space="preserve">Chinaware </t>
    </r>
    <r>
      <rPr>
        <sz val="16"/>
        <rFont val="微软雅黑"/>
        <family val="2"/>
        <charset val="134"/>
      </rPr>
      <t>瓷器</t>
    </r>
  </si>
  <si>
    <t>60011220</t>
  </si>
  <si>
    <r>
      <rPr>
        <sz val="16"/>
        <rFont val="Arial"/>
        <family val="2"/>
      </rPr>
      <t xml:space="preserve">Cleaning Supplies&amp;Chemicals </t>
    </r>
    <r>
      <rPr>
        <sz val="16"/>
        <rFont val="微软雅黑"/>
        <family val="2"/>
        <charset val="134"/>
      </rPr>
      <t>清洁用品</t>
    </r>
    <r>
      <rPr>
        <sz val="16"/>
        <rFont val="Arial"/>
        <family val="2"/>
      </rPr>
      <t>&amp;</t>
    </r>
    <r>
      <rPr>
        <sz val="16"/>
        <rFont val="微软雅黑"/>
        <family val="2"/>
        <charset val="134"/>
      </rPr>
      <t>化学药剂</t>
    </r>
  </si>
  <si>
    <t>60011230</t>
  </si>
  <si>
    <r>
      <rPr>
        <sz val="16"/>
        <rFont val="Arial"/>
        <family val="2"/>
      </rPr>
      <t xml:space="preserve">Flatware </t>
    </r>
    <r>
      <rPr>
        <sz val="16"/>
        <rFont val="微软雅黑"/>
        <family val="2"/>
        <charset val="134"/>
      </rPr>
      <t>餐具</t>
    </r>
  </si>
  <si>
    <t>60011240</t>
  </si>
  <si>
    <r>
      <rPr>
        <sz val="16"/>
        <rFont val="Arial"/>
        <family val="2"/>
      </rPr>
      <t xml:space="preserve">Glassware </t>
    </r>
    <r>
      <rPr>
        <sz val="16"/>
        <rFont val="微软雅黑"/>
        <family val="2"/>
        <charset val="134"/>
      </rPr>
      <t>玻璃器皿</t>
    </r>
  </si>
  <si>
    <t>60011250</t>
  </si>
  <si>
    <r>
      <rPr>
        <sz val="16"/>
        <rFont val="Arial"/>
        <family val="2"/>
      </rPr>
      <t xml:space="preserve">Linen </t>
    </r>
    <r>
      <rPr>
        <sz val="16"/>
        <rFont val="微软雅黑"/>
        <family val="2"/>
        <charset val="134"/>
      </rPr>
      <t>布巾</t>
    </r>
  </si>
  <si>
    <t>60011260</t>
  </si>
  <si>
    <r>
      <rPr>
        <sz val="16"/>
        <rFont val="Arial"/>
        <family val="2"/>
      </rPr>
      <t xml:space="preserve">Silverware </t>
    </r>
    <r>
      <rPr>
        <sz val="16"/>
        <rFont val="微软雅黑"/>
        <family val="2"/>
        <charset val="134"/>
      </rPr>
      <t>银器</t>
    </r>
  </si>
  <si>
    <t>60011270</t>
  </si>
  <si>
    <r>
      <rPr>
        <sz val="16"/>
        <rFont val="Arial"/>
        <family val="2"/>
      </rPr>
      <t xml:space="preserve">Other Operating Supplies </t>
    </r>
    <r>
      <rPr>
        <sz val="16"/>
        <rFont val="微软雅黑"/>
        <family val="2"/>
        <charset val="134"/>
      </rPr>
      <t>其他运营用品</t>
    </r>
  </si>
  <si>
    <t>60011280</t>
  </si>
  <si>
    <r>
      <rPr>
        <sz val="16"/>
        <rFont val="Arial"/>
        <family val="2"/>
      </rPr>
      <t xml:space="preserve">Utensils </t>
    </r>
    <r>
      <rPr>
        <sz val="16"/>
        <rFont val="微软雅黑"/>
        <family val="2"/>
        <charset val="134"/>
      </rPr>
      <t>器具</t>
    </r>
  </si>
  <si>
    <t>60011290</t>
  </si>
  <si>
    <r>
      <rPr>
        <sz val="16"/>
        <rFont val="Arial"/>
        <family val="2"/>
      </rPr>
      <t xml:space="preserve">Paper Supplies </t>
    </r>
    <r>
      <rPr>
        <sz val="16"/>
        <rFont val="微软雅黑"/>
        <family val="2"/>
        <charset val="134"/>
      </rPr>
      <t>纸张用品</t>
    </r>
  </si>
  <si>
    <t>60011310</t>
  </si>
  <si>
    <r>
      <rPr>
        <sz val="16"/>
        <rFont val="Arial"/>
        <family val="2"/>
      </rPr>
      <t xml:space="preserve">Uniforms </t>
    </r>
    <r>
      <rPr>
        <sz val="16"/>
        <rFont val="微软雅黑"/>
        <family val="2"/>
        <charset val="134"/>
      </rPr>
      <t>制服</t>
    </r>
  </si>
  <si>
    <t>60011320</t>
  </si>
  <si>
    <r>
      <rPr>
        <sz val="16"/>
        <rFont val="Arial"/>
        <family val="2"/>
      </rPr>
      <t xml:space="preserve">Laundry Supplies </t>
    </r>
    <r>
      <rPr>
        <sz val="16"/>
        <rFont val="微软雅黑"/>
        <family val="2"/>
        <charset val="134"/>
      </rPr>
      <t>洗衣用品</t>
    </r>
  </si>
  <si>
    <t>60011410</t>
  </si>
  <si>
    <r>
      <rPr>
        <sz val="16"/>
        <rFont val="Arial"/>
        <family val="2"/>
      </rPr>
      <t xml:space="preserve">Flyers </t>
    </r>
    <r>
      <rPr>
        <sz val="16"/>
        <rFont val="微软雅黑"/>
        <family val="2"/>
        <charset val="134"/>
      </rPr>
      <t>传单</t>
    </r>
  </si>
  <si>
    <t>60011420</t>
  </si>
  <si>
    <r>
      <rPr>
        <sz val="16"/>
        <rFont val="Arial"/>
        <family val="2"/>
      </rPr>
      <t xml:space="preserve">Menus &amp; Beverage Lists </t>
    </r>
    <r>
      <rPr>
        <sz val="16"/>
        <rFont val="微软雅黑"/>
        <family val="2"/>
        <charset val="134"/>
      </rPr>
      <t>菜单及饮料单</t>
    </r>
  </si>
  <si>
    <t>60011430</t>
  </si>
  <si>
    <r>
      <rPr>
        <sz val="16"/>
        <rFont val="Arial"/>
        <family val="2"/>
      </rPr>
      <t xml:space="preserve">Food &amp; Beverage Promotions </t>
    </r>
    <r>
      <rPr>
        <sz val="16"/>
        <rFont val="微软雅黑"/>
        <family val="2"/>
        <charset val="134"/>
      </rPr>
      <t>餐饮促销</t>
    </r>
  </si>
  <si>
    <t>60011440</t>
  </si>
  <si>
    <r>
      <rPr>
        <sz val="16"/>
        <rFont val="Arial"/>
        <family val="2"/>
      </rPr>
      <t xml:space="preserve">Promotional Gifts </t>
    </r>
    <r>
      <rPr>
        <sz val="16"/>
        <rFont val="微软雅黑"/>
        <family val="2"/>
        <charset val="134"/>
      </rPr>
      <t>推广礼品</t>
    </r>
  </si>
  <si>
    <t>60011450</t>
  </si>
  <si>
    <r>
      <rPr>
        <sz val="16"/>
        <rFont val="Arial"/>
        <family val="2"/>
      </rPr>
      <t xml:space="preserve">Promotions </t>
    </r>
    <r>
      <rPr>
        <sz val="16"/>
        <rFont val="微软雅黑"/>
        <family val="2"/>
        <charset val="134"/>
      </rPr>
      <t>促销</t>
    </r>
  </si>
  <si>
    <t>60011460</t>
  </si>
  <si>
    <r>
      <rPr>
        <sz val="16"/>
        <rFont val="Arial"/>
        <family val="2"/>
      </rPr>
      <t xml:space="preserve">Plant Hire </t>
    </r>
    <r>
      <rPr>
        <sz val="16"/>
        <rFont val="微软雅黑"/>
        <family val="2"/>
        <charset val="134"/>
      </rPr>
      <t>植物租摆</t>
    </r>
  </si>
  <si>
    <t>60011470</t>
  </si>
  <si>
    <r>
      <rPr>
        <sz val="16"/>
        <rFont val="Arial"/>
        <family val="2"/>
      </rPr>
      <t xml:space="preserve">Music/Entertainment </t>
    </r>
    <r>
      <rPr>
        <sz val="16"/>
        <rFont val="微软雅黑"/>
        <family val="2"/>
        <charset val="134"/>
      </rPr>
      <t>音乐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娱乐</t>
    </r>
  </si>
  <si>
    <t>60011480</t>
  </si>
  <si>
    <r>
      <rPr>
        <sz val="16"/>
        <rFont val="Arial"/>
        <family val="2"/>
      </rPr>
      <t xml:space="preserve">Banquet Expenses </t>
    </r>
    <r>
      <rPr>
        <sz val="16"/>
        <rFont val="微软雅黑"/>
        <family val="2"/>
        <charset val="134"/>
      </rPr>
      <t>宴会费用</t>
    </r>
  </si>
  <si>
    <t>60011510</t>
  </si>
  <si>
    <r>
      <rPr>
        <sz val="16"/>
        <rFont val="Arial"/>
        <family val="2"/>
      </rPr>
      <t xml:space="preserve">Kitchen Fuel </t>
    </r>
    <r>
      <rPr>
        <sz val="16"/>
        <rFont val="微软雅黑"/>
        <family val="2"/>
        <charset val="134"/>
      </rPr>
      <t>厨房燃料</t>
    </r>
  </si>
  <si>
    <t>60011520</t>
  </si>
  <si>
    <r>
      <rPr>
        <sz val="16"/>
        <rFont val="Arial"/>
        <family val="2"/>
      </rPr>
      <t xml:space="preserve">Hygiene </t>
    </r>
    <r>
      <rPr>
        <sz val="16"/>
        <rFont val="微软雅黑"/>
        <family val="2"/>
        <charset val="134"/>
      </rPr>
      <t>卫生</t>
    </r>
  </si>
  <si>
    <t>60011530</t>
  </si>
  <si>
    <r>
      <rPr>
        <sz val="16"/>
        <rFont val="Arial"/>
        <family val="2"/>
      </rPr>
      <t xml:space="preserve">Medical/First Aid Expenses </t>
    </r>
    <r>
      <rPr>
        <sz val="16"/>
        <rFont val="微软雅黑"/>
        <family val="2"/>
        <charset val="134"/>
      </rPr>
      <t>急救费用</t>
    </r>
  </si>
  <si>
    <t>60011540</t>
  </si>
  <si>
    <r>
      <rPr>
        <sz val="16"/>
        <rFont val="Arial"/>
        <family val="2"/>
      </rPr>
      <t xml:space="preserve">Equipment Rental </t>
    </r>
    <r>
      <rPr>
        <sz val="16"/>
        <rFont val="微软雅黑"/>
        <family val="2"/>
        <charset val="134"/>
      </rPr>
      <t>设备租金</t>
    </r>
  </si>
  <si>
    <t>60011550</t>
  </si>
  <si>
    <r>
      <rPr>
        <sz val="16"/>
        <rFont val="Arial"/>
        <family val="2"/>
      </rPr>
      <t xml:space="preserve">Food Testing </t>
    </r>
    <r>
      <rPr>
        <sz val="16"/>
        <rFont val="微软雅黑"/>
        <family val="2"/>
        <charset val="134"/>
      </rPr>
      <t>食品测试</t>
    </r>
  </si>
  <si>
    <t>60011561</t>
  </si>
  <si>
    <r>
      <rPr>
        <sz val="16"/>
        <rFont val="Arial"/>
        <family val="2"/>
      </rPr>
      <t xml:space="preserve">Oil </t>
    </r>
    <r>
      <rPr>
        <sz val="16"/>
        <rFont val="微软雅黑"/>
        <family val="2"/>
        <charset val="134"/>
      </rPr>
      <t>汽油</t>
    </r>
  </si>
  <si>
    <t>60011562</t>
  </si>
  <si>
    <r>
      <rPr>
        <sz val="16"/>
        <rFont val="Arial"/>
        <family val="2"/>
      </rPr>
      <t xml:space="preserve">Vehicles Maintenance </t>
    </r>
    <r>
      <rPr>
        <sz val="16"/>
        <rFont val="微软雅黑"/>
        <family val="2"/>
        <charset val="134"/>
      </rPr>
      <t>车辆维修</t>
    </r>
  </si>
  <si>
    <t>60011563</t>
  </si>
  <si>
    <r>
      <rPr>
        <sz val="16"/>
        <rFont val="Arial"/>
        <family val="2"/>
      </rPr>
      <t xml:space="preserve">Vehicle Insurance </t>
    </r>
    <r>
      <rPr>
        <sz val="16"/>
        <rFont val="微软雅黑"/>
        <family val="2"/>
        <charset val="134"/>
      </rPr>
      <t>车辆保险</t>
    </r>
  </si>
  <si>
    <t>60011564</t>
  </si>
  <si>
    <r>
      <rPr>
        <sz val="16"/>
        <rFont val="Arial"/>
        <family val="2"/>
      </rPr>
      <t xml:space="preserve">Vehicle Tax </t>
    </r>
    <r>
      <rPr>
        <sz val="16"/>
        <rFont val="微软雅黑"/>
        <family val="2"/>
        <charset val="134"/>
      </rPr>
      <t>车辆税</t>
    </r>
  </si>
  <si>
    <t>60011610</t>
  </si>
  <si>
    <r>
      <rPr>
        <sz val="16"/>
        <rFont val="Arial"/>
        <family val="2"/>
      </rPr>
      <t xml:space="preserve">Pool Supplies </t>
    </r>
    <r>
      <rPr>
        <sz val="16"/>
        <rFont val="微软雅黑"/>
        <family val="2"/>
        <charset val="134"/>
      </rPr>
      <t>泳池用品</t>
    </r>
  </si>
  <si>
    <t>60011620</t>
  </si>
  <si>
    <r>
      <rPr>
        <sz val="16"/>
        <rFont val="Arial"/>
        <family val="2"/>
      </rPr>
      <t xml:space="preserve">General Supplies-GuestLaundry </t>
    </r>
    <r>
      <rPr>
        <sz val="16"/>
        <rFont val="微软雅黑"/>
        <family val="2"/>
        <charset val="134"/>
      </rPr>
      <t>一般用品</t>
    </r>
    <r>
      <rPr>
        <sz val="16"/>
        <rFont val="Arial"/>
        <family val="2"/>
      </rPr>
      <t>-</t>
    </r>
    <r>
      <rPr>
        <sz val="16"/>
        <rFont val="微软雅黑"/>
        <family val="2"/>
        <charset val="134"/>
      </rPr>
      <t>客衣</t>
    </r>
  </si>
  <si>
    <t>60011910</t>
  </si>
  <si>
    <r>
      <rPr>
        <sz val="16"/>
        <rFont val="Arial"/>
        <family val="2"/>
      </rPr>
      <t xml:space="preserve">Staff Canteen-Food </t>
    </r>
    <r>
      <rPr>
        <sz val="16"/>
        <rFont val="微软雅黑"/>
        <family val="2"/>
        <charset val="134"/>
      </rPr>
      <t>员工餐厅食品</t>
    </r>
  </si>
  <si>
    <t>60011920</t>
  </si>
  <si>
    <r>
      <rPr>
        <sz val="16"/>
        <rFont val="Arial"/>
        <family val="2"/>
      </rPr>
      <t xml:space="preserve">Staff Canteen-Beverage </t>
    </r>
    <r>
      <rPr>
        <sz val="16"/>
        <rFont val="微软雅黑"/>
        <family val="2"/>
        <charset val="134"/>
      </rPr>
      <t>员工餐厅饮料酒水</t>
    </r>
  </si>
  <si>
    <t>60011930</t>
  </si>
  <si>
    <r>
      <rPr>
        <sz val="16"/>
        <rFont val="Arial"/>
        <family val="2"/>
      </rPr>
      <t xml:space="preserve">Dormitory Supplies </t>
    </r>
    <r>
      <rPr>
        <sz val="16"/>
        <rFont val="微软雅黑"/>
        <family val="2"/>
        <charset val="134"/>
      </rPr>
      <t>员工宿舍用品</t>
    </r>
  </si>
  <si>
    <t>60012010</t>
  </si>
  <si>
    <r>
      <rPr>
        <sz val="16"/>
        <rFont val="Arial"/>
        <family val="2"/>
      </rPr>
      <t xml:space="preserve">Photocopy </t>
    </r>
    <r>
      <rPr>
        <sz val="16"/>
        <rFont val="微软雅黑"/>
        <family val="2"/>
        <charset val="134"/>
      </rPr>
      <t>复印费</t>
    </r>
  </si>
  <si>
    <t>60012020</t>
  </si>
  <si>
    <r>
      <rPr>
        <sz val="16"/>
        <rFont val="Arial"/>
        <family val="2"/>
      </rPr>
      <t xml:space="preserve">Postage </t>
    </r>
    <r>
      <rPr>
        <sz val="16"/>
        <rFont val="微软雅黑"/>
        <family val="2"/>
        <charset val="134"/>
      </rPr>
      <t>邮费</t>
    </r>
  </si>
  <si>
    <t>60012030</t>
  </si>
  <si>
    <r>
      <rPr>
        <sz val="16"/>
        <rFont val="Arial"/>
        <family val="2"/>
      </rPr>
      <t xml:space="preserve">Printing &amp; Stationery </t>
    </r>
    <r>
      <rPr>
        <sz val="16"/>
        <rFont val="微软雅黑"/>
        <family val="2"/>
        <charset val="134"/>
      </rPr>
      <t>印刷与文具</t>
    </r>
  </si>
  <si>
    <t>60012040</t>
  </si>
  <si>
    <r>
      <rPr>
        <sz val="16"/>
        <rFont val="Arial"/>
        <family val="2"/>
      </rPr>
      <t xml:space="preserve">Internal Laundry </t>
    </r>
    <r>
      <rPr>
        <sz val="16"/>
        <rFont val="微软雅黑"/>
        <family val="2"/>
        <charset val="134"/>
      </rPr>
      <t>内部洗衣</t>
    </r>
  </si>
  <si>
    <t>60012050</t>
  </si>
  <si>
    <r>
      <rPr>
        <sz val="16"/>
        <rFont val="Arial"/>
        <family val="2"/>
      </rPr>
      <t xml:space="preserve">Taskforce Expenses </t>
    </r>
    <r>
      <rPr>
        <sz val="16"/>
        <rFont val="微软雅黑"/>
        <family val="2"/>
        <charset val="134"/>
      </rPr>
      <t>外援费用</t>
    </r>
  </si>
  <si>
    <t>60012060</t>
  </si>
  <si>
    <r>
      <rPr>
        <sz val="16"/>
        <rFont val="Arial"/>
        <family val="2"/>
      </rPr>
      <t xml:space="preserve">Telephone </t>
    </r>
    <r>
      <rPr>
        <sz val="16"/>
        <rFont val="微软雅黑"/>
        <family val="2"/>
        <charset val="134"/>
      </rPr>
      <t>电话费</t>
    </r>
  </si>
  <si>
    <t>60012070</t>
  </si>
  <si>
    <r>
      <rPr>
        <sz val="16"/>
        <rFont val="Arial"/>
        <family val="2"/>
      </rPr>
      <t xml:space="preserve">Transportation </t>
    </r>
    <r>
      <rPr>
        <sz val="16"/>
        <rFont val="微软雅黑"/>
        <family val="2"/>
        <charset val="134"/>
      </rPr>
      <t>交通</t>
    </r>
    <r>
      <rPr>
        <sz val="16"/>
        <rFont val="Arial"/>
        <family val="2"/>
      </rPr>
      <t xml:space="preserve"> - Guest </t>
    </r>
    <r>
      <rPr>
        <sz val="16"/>
        <rFont val="微软雅黑"/>
        <family val="2"/>
        <charset val="134"/>
      </rPr>
      <t>客人</t>
    </r>
  </si>
  <si>
    <t>60012080</t>
  </si>
  <si>
    <r>
      <rPr>
        <sz val="16"/>
        <rFont val="Arial"/>
        <family val="2"/>
      </rPr>
      <t xml:space="preserve">Transportation </t>
    </r>
    <r>
      <rPr>
        <sz val="16"/>
        <rFont val="微软雅黑"/>
        <family val="2"/>
        <charset val="134"/>
      </rPr>
      <t>交通</t>
    </r>
    <r>
      <rPr>
        <sz val="16"/>
        <rFont val="Arial"/>
        <family val="2"/>
      </rPr>
      <t xml:space="preserve"> - Staff </t>
    </r>
    <r>
      <rPr>
        <sz val="16"/>
        <rFont val="微软雅黑"/>
        <family val="2"/>
        <charset val="134"/>
      </rPr>
      <t>员工</t>
    </r>
  </si>
  <si>
    <t>60012090</t>
  </si>
  <si>
    <r>
      <rPr>
        <sz val="16"/>
        <rFont val="Arial"/>
        <family val="2"/>
      </rPr>
      <t xml:space="preserve">Travelling Expenses </t>
    </r>
    <r>
      <rPr>
        <sz val="16"/>
        <rFont val="微软雅黑"/>
        <family val="2"/>
        <charset val="134"/>
      </rPr>
      <t>差旅费</t>
    </r>
    <r>
      <rPr>
        <sz val="16"/>
        <rFont val="Arial"/>
        <family val="2"/>
      </rPr>
      <t xml:space="preserve"> </t>
    </r>
  </si>
  <si>
    <t>60014101</t>
  </si>
  <si>
    <r>
      <rPr>
        <sz val="16"/>
        <rFont val="Arial"/>
        <family val="2"/>
      </rPr>
      <t xml:space="preserve">Lost &amp; Damaged </t>
    </r>
    <r>
      <rPr>
        <sz val="16"/>
        <rFont val="微软雅黑"/>
        <family val="2"/>
        <charset val="134"/>
      </rPr>
      <t>丢失与损坏</t>
    </r>
  </si>
  <si>
    <t>60014102</t>
  </si>
  <si>
    <r>
      <rPr>
        <sz val="16"/>
        <rFont val="Arial"/>
        <family val="2"/>
      </rPr>
      <t xml:space="preserve">License Fee </t>
    </r>
    <r>
      <rPr>
        <sz val="16"/>
        <rFont val="微软雅黑"/>
        <family val="2"/>
        <charset val="134"/>
      </rPr>
      <t>执照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许可证费</t>
    </r>
  </si>
  <si>
    <t>60014104</t>
  </si>
  <si>
    <r>
      <rPr>
        <sz val="16"/>
        <rFont val="Arial"/>
        <family val="2"/>
      </rPr>
      <t xml:space="preserve">Professional Services </t>
    </r>
    <r>
      <rPr>
        <sz val="16"/>
        <rFont val="微软雅黑"/>
        <family val="2"/>
        <charset val="134"/>
      </rPr>
      <t>专业服务</t>
    </r>
  </si>
  <si>
    <r>
      <rPr>
        <sz val="16"/>
        <rFont val="Arial"/>
        <family val="2"/>
      </rPr>
      <t xml:space="preserve">Supervision Fee </t>
    </r>
    <r>
      <rPr>
        <sz val="16"/>
        <rFont val="宋体"/>
        <family val="3"/>
        <charset val="134"/>
      </rPr>
      <t>监管费</t>
    </r>
  </si>
  <si>
    <t>60011490</t>
  </si>
  <si>
    <r>
      <rPr>
        <sz val="16"/>
        <rFont val="Arial"/>
        <family val="2"/>
      </rPr>
      <t xml:space="preserve">Miscellaneous Expenses </t>
    </r>
    <r>
      <rPr>
        <sz val="16"/>
        <rFont val="微软雅黑"/>
        <family val="2"/>
        <charset val="134"/>
      </rPr>
      <t>杂项</t>
    </r>
  </si>
  <si>
    <r>
      <rPr>
        <b/>
        <sz val="16"/>
        <rFont val="Arial"/>
        <family val="2"/>
      </rPr>
      <t xml:space="preserve">Total Operating Expenses </t>
    </r>
    <r>
      <rPr>
        <b/>
        <sz val="16"/>
        <rFont val="宋体"/>
        <family val="3"/>
        <charset val="134"/>
      </rPr>
      <t>费用合计</t>
    </r>
  </si>
  <si>
    <r>
      <rPr>
        <b/>
        <sz val="16"/>
        <rFont val="Arial"/>
        <family val="2"/>
      </rPr>
      <t xml:space="preserve">Total Undistributed Expense </t>
    </r>
    <r>
      <rPr>
        <b/>
        <sz val="16"/>
        <rFont val="宋体"/>
        <family val="3"/>
        <charset val="134"/>
      </rPr>
      <t>不分配费用合计</t>
    </r>
  </si>
  <si>
    <t>&lt;&lt;5..79999999</t>
  </si>
  <si>
    <t>&lt;&lt;27101</t>
  </si>
  <si>
    <t>Total Allocation Expenses</t>
  </si>
  <si>
    <r>
      <rPr>
        <b/>
        <sz val="16"/>
        <rFont val="Arial"/>
        <family val="2"/>
      </rPr>
      <t xml:space="preserve">LABOUR COST ANALYSIS </t>
    </r>
    <r>
      <rPr>
        <b/>
        <sz val="16"/>
        <rFont val="宋体"/>
        <family val="3"/>
        <charset val="134"/>
      </rPr>
      <t>人工成本</t>
    </r>
  </si>
  <si>
    <t>50012300</t>
  </si>
  <si>
    <t>50021270</t>
  </si>
  <si>
    <t>50012400</t>
  </si>
  <si>
    <t>50021280</t>
  </si>
  <si>
    <t>&lt;&lt;50021400</t>
  </si>
  <si>
    <r>
      <rPr>
        <sz val="16"/>
        <rFont val="Arial"/>
        <family val="2"/>
      </rPr>
      <t xml:space="preserve">Severance Pay </t>
    </r>
    <r>
      <rPr>
        <sz val="16"/>
        <rFont val="宋体"/>
        <family val="3"/>
        <charset val="134"/>
      </rPr>
      <t>解雇费</t>
    </r>
  </si>
  <si>
    <t>50013100</t>
  </si>
  <si>
    <t>50013200</t>
  </si>
  <si>
    <t>50013300</t>
  </si>
  <si>
    <t>50013400</t>
  </si>
  <si>
    <t>50013500</t>
  </si>
  <si>
    <t>50013600</t>
  </si>
  <si>
    <t>50013700</t>
  </si>
  <si>
    <t>50013800</t>
  </si>
  <si>
    <t>50021120</t>
  </si>
  <si>
    <t>50021130</t>
  </si>
  <si>
    <t>50021210</t>
  </si>
  <si>
    <t>50021110</t>
  </si>
  <si>
    <t>50021290</t>
  </si>
  <si>
    <t>&lt;&lt;50021300</t>
  </si>
  <si>
    <r>
      <rPr>
        <sz val="16"/>
        <rFont val="Arial"/>
        <family val="2"/>
      </rPr>
      <t xml:space="preserve">Employee Relations </t>
    </r>
    <r>
      <rPr>
        <sz val="16"/>
        <rFont val="宋体"/>
        <family val="3"/>
        <charset val="134"/>
      </rPr>
      <t>员工关系</t>
    </r>
  </si>
  <si>
    <t>&lt;&lt;50031001..50031002,50021500</t>
  </si>
  <si>
    <t xml:space="preserve"> 食品收入</t>
  </si>
  <si>
    <t>ADD</t>
  </si>
  <si>
    <t>BANQUET</t>
  </si>
  <si>
    <t>分摊费用</t>
  </si>
  <si>
    <t>Room Service 送餐损益</t>
  </si>
  <si>
    <t>&lt;&lt;30300330,30310330,303203330</t>
  </si>
  <si>
    <t>The Lounge Total Labor Cost</t>
  </si>
  <si>
    <t>Room Service Total Labor Cost</t>
  </si>
  <si>
    <t>Grand Total Labor Cost</t>
  </si>
  <si>
    <t>Banquet 宴会损益</t>
  </si>
  <si>
    <t>&lt;&lt;24112</t>
  </si>
  <si>
    <t>Residence</t>
  </si>
  <si>
    <t>&lt;&lt;24113</t>
  </si>
  <si>
    <t>Wedding</t>
  </si>
  <si>
    <t>&lt;&lt;24114</t>
  </si>
  <si>
    <t>Social</t>
  </si>
  <si>
    <t>&lt;&lt;24115</t>
  </si>
  <si>
    <t>Group</t>
  </si>
  <si>
    <t>&lt;&lt;24116,24121</t>
  </si>
  <si>
    <t>Others</t>
  </si>
  <si>
    <t>&lt;&lt;24111..24116,24121..24200</t>
  </si>
  <si>
    <t>&lt;&lt;30320990..30320992,30400050</t>
  </si>
  <si>
    <t>Minibar 迷你吧</t>
  </si>
  <si>
    <t>REVENUE</t>
  </si>
  <si>
    <t>&lt;&lt;25101</t>
  </si>
  <si>
    <t>Mini Bar Revenue 迷你吧收入</t>
  </si>
  <si>
    <t>&lt;&lt;30320400..30320402</t>
  </si>
  <si>
    <t>Season Promotion 季节推广</t>
  </si>
  <si>
    <t>&lt;&lt;30320990..30320992</t>
  </si>
  <si>
    <t>Miscellaneous Revenue 餐饮杂项收入</t>
  </si>
  <si>
    <t>Total Revenue</t>
  </si>
  <si>
    <t>&lt;&lt;40200190</t>
  </si>
  <si>
    <t>Season Promotion Cost 季节推广成本</t>
  </si>
  <si>
    <t>Other F&amp;B Cost 其他餐饮成本</t>
  </si>
  <si>
    <t>&lt;&lt;ZZZZZZZ</t>
  </si>
  <si>
    <t>Stewarding 管事部</t>
  </si>
  <si>
    <t>餐饮收入</t>
  </si>
  <si>
    <t>F&amp;B Administration 餐饮行政</t>
  </si>
  <si>
    <t>&lt;&lt;20001</t>
  </si>
  <si>
    <r>
      <rPr>
        <b/>
        <sz val="18"/>
        <rFont val="Arial"/>
        <family val="2"/>
      </rPr>
      <t xml:space="preserve">Other Operating Department </t>
    </r>
    <r>
      <rPr>
        <b/>
        <sz val="18"/>
        <rFont val="微软雅黑"/>
        <family val="2"/>
        <charset val="134"/>
      </rPr>
      <t>其他营运部门</t>
    </r>
  </si>
  <si>
    <t>&lt;&lt;36040900,39810200..39810300,38108100</t>
  </si>
  <si>
    <t>&lt;&lt;31099</t>
  </si>
  <si>
    <t>Recreation Center 娱乐中心</t>
  </si>
  <si>
    <t>&lt;&lt;36020010,39810200..39810300,38108100</t>
  </si>
  <si>
    <t>&lt;&lt;31101</t>
  </si>
  <si>
    <r>
      <rPr>
        <sz val="16"/>
        <rFont val="Arial"/>
        <family val="2"/>
      </rPr>
      <t xml:space="preserve">Health Culb </t>
    </r>
    <r>
      <rPr>
        <sz val="16"/>
        <rFont val="宋体"/>
        <family val="3"/>
        <charset val="134"/>
      </rPr>
      <t>健身俱乐部</t>
    </r>
  </si>
  <si>
    <t>&lt;&lt;36020020,39810200..39810300,38108100</t>
  </si>
  <si>
    <t>&lt;&lt;31201</t>
  </si>
  <si>
    <t>Pool 泳池</t>
  </si>
  <si>
    <t>&lt;&lt;36020030,39810200..39810300,38108100</t>
  </si>
  <si>
    <t>&lt;&lt;31301</t>
  </si>
  <si>
    <t>Salon 沙龙</t>
  </si>
  <si>
    <t>&lt;&lt;36020040,39810200..39810300,38108100</t>
  </si>
  <si>
    <t>&lt;&lt;31401</t>
  </si>
  <si>
    <t>Kids Center 儿童中心</t>
  </si>
  <si>
    <t>&lt;&lt;36030010,39810200..39810300,38108100</t>
  </si>
  <si>
    <t>&lt;&lt;32101</t>
  </si>
  <si>
    <t>SPA 水疗</t>
  </si>
  <si>
    <t>&lt;&lt;36800100,39810200..39810300,38108100</t>
  </si>
  <si>
    <t>&lt;&lt;33100</t>
  </si>
  <si>
    <t>Business Center 商务中心</t>
  </si>
  <si>
    <t>&lt;&lt;36010011,39810200..39810300,38108100</t>
  </si>
  <si>
    <t>&lt;&lt;34100</t>
  </si>
  <si>
    <r>
      <rPr>
        <sz val="16"/>
        <rFont val="Arial"/>
        <family val="2"/>
      </rPr>
      <t xml:space="preserve">Telephone </t>
    </r>
    <r>
      <rPr>
        <sz val="16"/>
        <rFont val="宋体"/>
        <family val="3"/>
        <charset val="134"/>
      </rPr>
      <t>电话</t>
    </r>
  </si>
  <si>
    <t>&lt;&lt;36040100,39810200..39810300,38108100</t>
  </si>
  <si>
    <t>&lt;&lt;35101</t>
  </si>
  <si>
    <t>Transportation 车队</t>
  </si>
  <si>
    <t>&lt;&lt;36040300,39810200..39810300,38108100</t>
  </si>
  <si>
    <t>&lt;&lt;35102</t>
  </si>
  <si>
    <t>Garage Parking 停车场</t>
  </si>
  <si>
    <t>&lt;&lt;36700200,39810200..39810300,38108100</t>
  </si>
  <si>
    <t>&lt;&lt;36101</t>
  </si>
  <si>
    <t>Galleria 钓鱼台生活馆</t>
  </si>
  <si>
    <t>&lt;&lt;36102</t>
  </si>
  <si>
    <t>Retail#2 商品部#2</t>
  </si>
  <si>
    <t>&lt;&lt;36700110,39810200..39810300,38108100</t>
  </si>
  <si>
    <t>&lt;&lt;37100</t>
  </si>
  <si>
    <r>
      <rPr>
        <sz val="16"/>
        <rFont val="Arial"/>
        <family val="2"/>
      </rPr>
      <t xml:space="preserve">Laundry </t>
    </r>
    <r>
      <rPr>
        <sz val="16"/>
        <rFont val="宋体"/>
        <family val="3"/>
        <charset val="134"/>
      </rPr>
      <t>洗衣</t>
    </r>
  </si>
  <si>
    <t>&lt;&lt;37013000,39810200..39810300,38108100</t>
  </si>
  <si>
    <t>&lt;&lt;38101</t>
  </si>
  <si>
    <r>
      <rPr>
        <sz val="16"/>
        <rFont val="Arial"/>
        <family val="2"/>
      </rPr>
      <t xml:space="preserve">Apartment </t>
    </r>
    <r>
      <rPr>
        <sz val="16"/>
        <rFont val="宋体"/>
        <family val="3"/>
        <charset val="134"/>
      </rPr>
      <t>公寓</t>
    </r>
  </si>
  <si>
    <t>&lt;&lt;36700300,36800200..36800300,36800500..36800600,37011000..37012000,37014000,39810100,39810200..39810300</t>
  </si>
  <si>
    <r>
      <rPr>
        <sz val="16"/>
        <rFont val="Arial"/>
        <family val="2"/>
      </rPr>
      <t xml:space="preserve">Other </t>
    </r>
    <r>
      <rPr>
        <sz val="16"/>
        <rFont val="宋体"/>
        <family val="3"/>
        <charset val="134"/>
      </rPr>
      <t>其他</t>
    </r>
  </si>
  <si>
    <r>
      <rPr>
        <sz val="16"/>
        <rFont val="Arial"/>
        <family val="2"/>
      </rPr>
      <t xml:space="preserve">TOTAL OTHER REVENUE </t>
    </r>
    <r>
      <rPr>
        <sz val="16"/>
        <rFont val="宋体"/>
        <family val="3"/>
        <charset val="134"/>
      </rPr>
      <t>其他收入合计</t>
    </r>
  </si>
  <si>
    <r>
      <rPr>
        <b/>
        <sz val="16"/>
        <rFont val="Arial"/>
        <family val="2"/>
      </rPr>
      <t xml:space="preserve">EXPENSES </t>
    </r>
    <r>
      <rPr>
        <b/>
        <sz val="16"/>
        <rFont val="宋体"/>
        <family val="3"/>
        <charset val="134"/>
      </rPr>
      <t>费用</t>
    </r>
  </si>
  <si>
    <t>&lt;&lt;4..49999999,6..79999999</t>
  </si>
  <si>
    <r>
      <rPr>
        <sz val="16"/>
        <rFont val="Arial"/>
        <family val="2"/>
      </rPr>
      <t xml:space="preserve">TOTAL OTHER EXPENSES </t>
    </r>
    <r>
      <rPr>
        <sz val="16"/>
        <rFont val="宋体"/>
        <family val="3"/>
        <charset val="134"/>
      </rPr>
      <t>其他费用合计</t>
    </r>
  </si>
  <si>
    <r>
      <rPr>
        <b/>
        <sz val="16"/>
        <rFont val="Arial"/>
        <family val="2"/>
      </rPr>
      <t xml:space="preserve">Departmental Profit/(Loss) </t>
    </r>
    <r>
      <rPr>
        <b/>
        <sz val="16"/>
        <rFont val="宋体"/>
        <family val="3"/>
        <charset val="134"/>
      </rPr>
      <t>部门利润（亏损）</t>
    </r>
  </si>
  <si>
    <r>
      <rPr>
        <sz val="16"/>
        <rFont val="Arial"/>
        <family val="2"/>
      </rPr>
      <t xml:space="preserve">TOTAL DEPARTMENTAL PROFIT/(LOSS) </t>
    </r>
    <r>
      <rPr>
        <b/>
        <sz val="16"/>
        <rFont val="宋体"/>
        <family val="3"/>
        <charset val="134"/>
      </rPr>
      <t>其他营运部门利润合计</t>
    </r>
  </si>
  <si>
    <t>&lt;&lt;3..39999</t>
  </si>
  <si>
    <t>&lt;&lt;3..399999</t>
  </si>
  <si>
    <t>Health Culb 健身俱乐部</t>
  </si>
  <si>
    <t>36020010</t>
  </si>
  <si>
    <t>&lt;&lt;31101,31201</t>
  </si>
  <si>
    <t>2102</t>
  </si>
  <si>
    <t>Squash</t>
  </si>
  <si>
    <t>2103</t>
  </si>
  <si>
    <t>Table Tennis</t>
  </si>
  <si>
    <t>2104</t>
  </si>
  <si>
    <t>Snooker</t>
  </si>
  <si>
    <t>2105</t>
  </si>
  <si>
    <t xml:space="preserve"> Game Room</t>
  </si>
  <si>
    <t>2106</t>
  </si>
  <si>
    <t>Aerobic</t>
  </si>
  <si>
    <t>2107</t>
  </si>
  <si>
    <t>Pool</t>
  </si>
  <si>
    <t>2108</t>
  </si>
  <si>
    <t>Spa</t>
  </si>
  <si>
    <t>2109</t>
  </si>
  <si>
    <t>Beauty Salon</t>
  </si>
  <si>
    <t>2110</t>
  </si>
  <si>
    <t>Massage Fee</t>
  </si>
  <si>
    <t>2112</t>
  </si>
  <si>
    <t>Snacks</t>
  </si>
  <si>
    <t>2113</t>
  </si>
  <si>
    <t>Health Drinks</t>
  </si>
  <si>
    <t>2114</t>
  </si>
  <si>
    <t>Single Consumption</t>
  </si>
  <si>
    <t>2115</t>
  </si>
  <si>
    <t>Store Value Card</t>
  </si>
  <si>
    <t>2199</t>
  </si>
  <si>
    <t>Miscellaneous</t>
  </si>
  <si>
    <t>38108100</t>
  </si>
  <si>
    <t>Service Charge</t>
  </si>
  <si>
    <t>40310500</t>
  </si>
  <si>
    <t>2101</t>
  </si>
  <si>
    <t>Club Membership</t>
  </si>
  <si>
    <t>Game Room</t>
  </si>
  <si>
    <t>Retail</t>
  </si>
  <si>
    <t>&lt;&lt;40310400,40310500</t>
  </si>
  <si>
    <t>Total Cost of Sales</t>
  </si>
  <si>
    <t>Total Labour Costs</t>
  </si>
  <si>
    <t>OPERATING EXPENSES</t>
  </si>
  <si>
    <t>Total Operating Expenses</t>
  </si>
  <si>
    <t>Department Profit/(Loss)</t>
  </si>
  <si>
    <t>&lt;&lt;3..79999999</t>
  </si>
  <si>
    <t>LABOUR COST ANALYSIS</t>
  </si>
  <si>
    <t>Salary &amp; Wages</t>
  </si>
  <si>
    <t>Managers 经理</t>
  </si>
  <si>
    <t>Services 服务</t>
  </si>
  <si>
    <t>Total Remuneration</t>
  </si>
  <si>
    <t>Overtime 加班</t>
  </si>
  <si>
    <t>Bonus 年终奖金</t>
  </si>
  <si>
    <t>Allowance 津贴</t>
  </si>
  <si>
    <t>Vacation Pay 假期工资</t>
  </si>
  <si>
    <t>Incentive 奖金</t>
  </si>
  <si>
    <t>Total Salary &amp; Wages</t>
  </si>
  <si>
    <t>PRC - Retirement Insurance 养老保险</t>
  </si>
  <si>
    <t>PRC - Basic Medical Insurance 医疗保险</t>
  </si>
  <si>
    <t>PRC - Unemployement fund 失业保险</t>
  </si>
  <si>
    <t>PRC - Employee Liability (Injury) 工伤保险</t>
  </si>
  <si>
    <t>PRC - Birth Insurance 生育保险</t>
  </si>
  <si>
    <t>PRC - Housing Fund 住房公积金</t>
  </si>
  <si>
    <t>PRC - Union Fee 工会经费</t>
  </si>
  <si>
    <t>PRC - Education Fund 教育经费</t>
  </si>
  <si>
    <t>Total Fringe</t>
  </si>
  <si>
    <t>Expats - Insurance 外籍保险</t>
  </si>
  <si>
    <t>Expats - Medical Insurance 外籍医疗保险</t>
  </si>
  <si>
    <t>Expats - Benefits 外籍福利</t>
  </si>
  <si>
    <t>Local - Business Insurance 本地员工商业保险</t>
  </si>
  <si>
    <t>Other Benefits 其他福利</t>
  </si>
  <si>
    <t>Staff Dormitory &amp; Related Expenses 员工宿舍及相关费用</t>
  </si>
  <si>
    <t>Staff Cateen Allocation &amp; OC 员工餐费</t>
  </si>
  <si>
    <t>Total Benefits</t>
  </si>
  <si>
    <t>TOTAL LABOUR COST</t>
  </si>
  <si>
    <t>FTEs</t>
  </si>
  <si>
    <t>Telephone 电话</t>
  </si>
  <si>
    <t>36010011</t>
  </si>
  <si>
    <t>2702</t>
  </si>
  <si>
    <t>DDD Calls</t>
  </si>
  <si>
    <t>Local Calls</t>
  </si>
  <si>
    <t>2703</t>
  </si>
  <si>
    <t>IDD Calls</t>
  </si>
  <si>
    <t>2704</t>
  </si>
  <si>
    <t>Public phone</t>
  </si>
  <si>
    <t>2705</t>
  </si>
  <si>
    <t xml:space="preserve">Facsimilie Revenue </t>
  </si>
  <si>
    <t>2706</t>
  </si>
  <si>
    <t>Handling Charges</t>
  </si>
  <si>
    <t>2707</t>
  </si>
  <si>
    <t xml:space="preserve">Internet Access </t>
  </si>
  <si>
    <t>2799</t>
  </si>
  <si>
    <t>&lt;&lt;40310500</t>
  </si>
  <si>
    <t>FTEs员工人数</t>
  </si>
  <si>
    <t>Outside Transportation</t>
  </si>
  <si>
    <t>36040100</t>
  </si>
  <si>
    <t>2899</t>
  </si>
  <si>
    <t>Transportation</t>
  </si>
  <si>
    <t>2802</t>
  </si>
  <si>
    <t>Guest Laundry 客衣收入</t>
  </si>
  <si>
    <t>36700110</t>
  </si>
  <si>
    <t>3001</t>
  </si>
  <si>
    <t>Guest Dry Cleaning</t>
  </si>
  <si>
    <t>Guest Laundry</t>
  </si>
  <si>
    <t>3003</t>
  </si>
  <si>
    <t>Non-Guest Dry Cleaning</t>
  </si>
  <si>
    <t>3004</t>
  </si>
  <si>
    <t>Non-Guest Laundry</t>
  </si>
  <si>
    <t>3005</t>
  </si>
  <si>
    <t xml:space="preserve"> Retail</t>
  </si>
  <si>
    <t>3099</t>
  </si>
  <si>
    <r>
      <rPr>
        <b/>
        <sz val="18"/>
        <rFont val="Arial"/>
        <family val="2"/>
      </rPr>
      <t>BC</t>
    </r>
    <r>
      <rPr>
        <b/>
        <sz val="18"/>
        <rFont val="宋体"/>
        <family val="3"/>
        <charset val="134"/>
      </rPr>
      <t>商务中心</t>
    </r>
  </si>
  <si>
    <r>
      <rPr>
        <sz val="16"/>
        <rFont val="Arial"/>
        <family val="2"/>
      </rPr>
      <t xml:space="preserve">BC - Photocopying&amp;Printing   </t>
    </r>
    <r>
      <rPr>
        <sz val="16"/>
        <rFont val="宋体"/>
        <family val="3"/>
        <charset val="134"/>
      </rPr>
      <t>复印</t>
    </r>
    <r>
      <rPr>
        <sz val="16"/>
        <rFont val="Arial"/>
        <family val="2"/>
      </rPr>
      <t>&amp;</t>
    </r>
    <r>
      <rPr>
        <sz val="16"/>
        <rFont val="宋体"/>
        <family val="3"/>
        <charset val="134"/>
      </rPr>
      <t>打印</t>
    </r>
    <r>
      <rPr>
        <sz val="16"/>
        <rFont val="Arial"/>
        <family val="2"/>
      </rPr>
      <t xml:space="preserve"> </t>
    </r>
  </si>
  <si>
    <t>BC -Word Processing   文字处理</t>
  </si>
  <si>
    <t>BC -Facsimile     传真</t>
  </si>
  <si>
    <t>BC-Internet Service    上网</t>
  </si>
  <si>
    <t>BC-Binding    装订</t>
  </si>
  <si>
    <t>BC-Equipment Rental  设备租赁</t>
  </si>
  <si>
    <t>BC-Conference Room Rental  会议室租赁</t>
  </si>
  <si>
    <r>
      <rPr>
        <sz val="16"/>
        <rFont val="Arial"/>
        <family val="2"/>
      </rPr>
      <t xml:space="preserve">BC - Calls Fee   </t>
    </r>
    <r>
      <rPr>
        <sz val="16"/>
        <rFont val="宋体"/>
        <family val="3"/>
        <charset val="134"/>
      </rPr>
      <t>商务中心电话费</t>
    </r>
    <r>
      <rPr>
        <sz val="16"/>
        <rFont val="Arial"/>
        <family val="2"/>
      </rPr>
      <t xml:space="preserve"> </t>
    </r>
  </si>
  <si>
    <t xml:space="preserve">BC </t>
  </si>
  <si>
    <t>DYT Galleria-Hangzhou   钓鱼台生活馆</t>
  </si>
  <si>
    <r>
      <rPr>
        <b/>
        <sz val="18"/>
        <rFont val="Arial"/>
        <family val="2"/>
      </rPr>
      <t>Apartment</t>
    </r>
    <r>
      <rPr>
        <b/>
        <sz val="18"/>
        <rFont val="宋体"/>
        <family val="3"/>
        <charset val="134"/>
      </rPr>
      <t>公寓</t>
    </r>
  </si>
  <si>
    <t>&lt;&lt;37013000</t>
  </si>
  <si>
    <t>Apartment Room Charge</t>
  </si>
  <si>
    <t>Apartment VAT 6%</t>
  </si>
  <si>
    <t>Apartment Service Charge 10%</t>
  </si>
  <si>
    <t>Contract 合同</t>
  </si>
  <si>
    <t>COMP 免费房</t>
  </si>
  <si>
    <t>HSE 自用房</t>
  </si>
  <si>
    <r>
      <rPr>
        <b/>
        <sz val="18"/>
        <rFont val="Arial"/>
        <family val="2"/>
      </rPr>
      <t xml:space="preserve">General &amp; Administration </t>
    </r>
    <r>
      <rPr>
        <b/>
        <sz val="18"/>
        <rFont val="微软雅黑"/>
        <family val="2"/>
        <charset val="134"/>
      </rPr>
      <t>行政管理</t>
    </r>
  </si>
  <si>
    <t>60014103</t>
  </si>
  <si>
    <t>Centralized Accounting Charges 集中化财务费用</t>
  </si>
  <si>
    <t>60014105</t>
  </si>
  <si>
    <r>
      <rPr>
        <sz val="16"/>
        <rFont val="Arial"/>
        <family val="2"/>
      </rPr>
      <t xml:space="preserve">Consultants Fees </t>
    </r>
    <r>
      <rPr>
        <sz val="16"/>
        <rFont val="微软雅黑"/>
        <family val="2"/>
        <charset val="134"/>
      </rPr>
      <t>顾问费</t>
    </r>
  </si>
  <si>
    <t>60014107</t>
  </si>
  <si>
    <r>
      <rPr>
        <sz val="16"/>
        <rFont val="Arial"/>
        <family val="2"/>
      </rPr>
      <t xml:space="preserve">Legal Fee </t>
    </r>
    <r>
      <rPr>
        <sz val="16"/>
        <rFont val="微软雅黑"/>
        <family val="2"/>
        <charset val="134"/>
      </rPr>
      <t>法律费用</t>
    </r>
  </si>
  <si>
    <t>60014108</t>
  </si>
  <si>
    <r>
      <rPr>
        <sz val="16"/>
        <rFont val="Arial"/>
        <family val="2"/>
      </rPr>
      <t xml:space="preserve">External Audit Fee </t>
    </r>
    <r>
      <rPr>
        <sz val="16"/>
        <rFont val="微软雅黑"/>
        <family val="2"/>
        <charset val="134"/>
      </rPr>
      <t>外部审计费用</t>
    </r>
  </si>
  <si>
    <t>60014109</t>
  </si>
  <si>
    <r>
      <rPr>
        <sz val="16"/>
        <rFont val="Arial"/>
        <family val="2"/>
      </rPr>
      <t xml:space="preserve">Internal Audit Fee </t>
    </r>
    <r>
      <rPr>
        <sz val="16"/>
        <rFont val="微软雅黑"/>
        <family val="2"/>
        <charset val="134"/>
      </rPr>
      <t>内部审计费用</t>
    </r>
  </si>
  <si>
    <t>60014110</t>
  </si>
  <si>
    <r>
      <rPr>
        <sz val="16"/>
        <rFont val="Arial"/>
        <family val="2"/>
      </rPr>
      <t xml:space="preserve">Donations </t>
    </r>
    <r>
      <rPr>
        <sz val="16"/>
        <rFont val="微软雅黑"/>
        <family val="2"/>
        <charset val="134"/>
      </rPr>
      <t>捐献</t>
    </r>
  </si>
  <si>
    <t>60014111</t>
  </si>
  <si>
    <r>
      <rPr>
        <sz val="16"/>
        <rFont val="Arial"/>
        <family val="2"/>
      </rPr>
      <t xml:space="preserve">Bad Debts </t>
    </r>
    <r>
      <rPr>
        <sz val="16"/>
        <rFont val="微软雅黑"/>
        <family val="2"/>
        <charset val="134"/>
      </rPr>
      <t>坏帐</t>
    </r>
  </si>
  <si>
    <t>60014112</t>
  </si>
  <si>
    <r>
      <rPr>
        <sz val="16"/>
        <rFont val="Arial"/>
        <family val="2"/>
      </rPr>
      <t xml:space="preserve">Cash Over/Short </t>
    </r>
    <r>
      <rPr>
        <sz val="16"/>
        <rFont val="微软雅黑"/>
        <family val="2"/>
        <charset val="134"/>
      </rPr>
      <t>收银员长短款</t>
    </r>
  </si>
  <si>
    <t>60014113</t>
  </si>
  <si>
    <r>
      <rPr>
        <sz val="16"/>
        <rFont val="Arial"/>
        <family val="2"/>
      </rPr>
      <t xml:space="preserve">Commission </t>
    </r>
    <r>
      <rPr>
        <sz val="16"/>
        <rFont val="微软雅黑"/>
        <family val="2"/>
        <charset val="134"/>
      </rPr>
      <t>佣金</t>
    </r>
    <r>
      <rPr>
        <sz val="16"/>
        <rFont val="Arial"/>
        <family val="2"/>
      </rPr>
      <t xml:space="preserve"> - Credit Cards </t>
    </r>
    <r>
      <rPr>
        <sz val="16"/>
        <rFont val="微软雅黑"/>
        <family val="2"/>
        <charset val="134"/>
      </rPr>
      <t>信用卡</t>
    </r>
  </si>
  <si>
    <t>60014114</t>
  </si>
  <si>
    <r>
      <rPr>
        <sz val="16"/>
        <rFont val="Arial"/>
        <family val="2"/>
      </rPr>
      <t xml:space="preserve">Fines </t>
    </r>
    <r>
      <rPr>
        <sz val="16"/>
        <rFont val="微软雅黑"/>
        <family val="2"/>
        <charset val="134"/>
      </rPr>
      <t>罚款</t>
    </r>
  </si>
  <si>
    <t>&lt;&lt;60014116</t>
  </si>
  <si>
    <t>Hotel Insurance 酒店保险</t>
  </si>
  <si>
    <t>60014201</t>
  </si>
  <si>
    <r>
      <rPr>
        <sz val="16"/>
        <rFont val="Arial"/>
        <family val="2"/>
      </rPr>
      <t xml:space="preserve">Foreign Exchange </t>
    </r>
    <r>
      <rPr>
        <sz val="16"/>
        <rFont val="微软雅黑"/>
        <family val="2"/>
        <charset val="134"/>
      </rPr>
      <t>外币兑换</t>
    </r>
  </si>
  <si>
    <t>60014202</t>
  </si>
  <si>
    <r>
      <rPr>
        <sz val="16"/>
        <rFont val="Arial"/>
        <family val="2"/>
      </rPr>
      <t xml:space="preserve">Bank Charges </t>
    </r>
    <r>
      <rPr>
        <sz val="16"/>
        <rFont val="微软雅黑"/>
        <family val="2"/>
        <charset val="134"/>
      </rPr>
      <t>银行费用</t>
    </r>
  </si>
  <si>
    <t>60014301</t>
  </si>
  <si>
    <r>
      <rPr>
        <sz val="16"/>
        <rFont val="Arial"/>
        <family val="2"/>
      </rPr>
      <t xml:space="preserve">Training Expenses </t>
    </r>
    <r>
      <rPr>
        <sz val="16"/>
        <rFont val="微软雅黑"/>
        <family val="2"/>
        <charset val="134"/>
      </rPr>
      <t>培训费用</t>
    </r>
  </si>
  <si>
    <t>60014302</t>
  </si>
  <si>
    <r>
      <rPr>
        <sz val="16"/>
        <rFont val="Arial"/>
        <family val="2"/>
      </rPr>
      <t xml:space="preserve">Training Materials </t>
    </r>
    <r>
      <rPr>
        <sz val="16"/>
        <rFont val="微软雅黑"/>
        <family val="2"/>
        <charset val="134"/>
      </rPr>
      <t>培训资料</t>
    </r>
  </si>
  <si>
    <t>60014303</t>
  </si>
  <si>
    <r>
      <rPr>
        <sz val="16"/>
        <rFont val="Arial"/>
        <family val="2"/>
      </rPr>
      <t>Recruitment Expenses</t>
    </r>
    <r>
      <rPr>
        <sz val="16"/>
        <rFont val="微软雅黑"/>
        <family val="2"/>
        <charset val="134"/>
      </rPr>
      <t>员工招聘费用</t>
    </r>
  </si>
  <si>
    <t>60014304</t>
  </si>
  <si>
    <r>
      <rPr>
        <sz val="16"/>
        <rFont val="Arial"/>
        <family val="2"/>
      </rPr>
      <t xml:space="preserve">Relocation Expenses </t>
    </r>
    <r>
      <rPr>
        <sz val="16"/>
        <rFont val="微软雅黑"/>
        <family val="2"/>
        <charset val="134"/>
      </rPr>
      <t>安置费</t>
    </r>
  </si>
  <si>
    <t>60014501</t>
  </si>
  <si>
    <r>
      <rPr>
        <sz val="16"/>
        <rFont val="Arial"/>
        <family val="2"/>
      </rPr>
      <t xml:space="preserve">Electricity </t>
    </r>
    <r>
      <rPr>
        <sz val="16"/>
        <rFont val="微软雅黑"/>
        <family val="2"/>
        <charset val="134"/>
      </rPr>
      <t>电费</t>
    </r>
  </si>
  <si>
    <t>60014502</t>
  </si>
  <si>
    <r>
      <rPr>
        <sz val="16"/>
        <rFont val="Arial"/>
        <family val="2"/>
      </rPr>
      <t xml:space="preserve">Gas </t>
    </r>
    <r>
      <rPr>
        <sz val="16"/>
        <rFont val="微软雅黑"/>
        <family val="2"/>
        <charset val="134"/>
      </rPr>
      <t>天然气</t>
    </r>
  </si>
  <si>
    <t>60014503</t>
  </si>
  <si>
    <r>
      <rPr>
        <sz val="16"/>
        <rFont val="Arial"/>
        <family val="2"/>
      </rPr>
      <t xml:space="preserve">Steam </t>
    </r>
    <r>
      <rPr>
        <sz val="16"/>
        <rFont val="微软雅黑"/>
        <family val="2"/>
        <charset val="134"/>
      </rPr>
      <t>蒸汽</t>
    </r>
    <r>
      <rPr>
        <sz val="16"/>
        <rFont val="Arial"/>
        <family val="2"/>
      </rPr>
      <t xml:space="preserve">/ Heat </t>
    </r>
    <r>
      <rPr>
        <sz val="16"/>
        <rFont val="微软雅黑"/>
        <family val="2"/>
        <charset val="134"/>
      </rPr>
      <t>取暖</t>
    </r>
  </si>
  <si>
    <t>60014504</t>
  </si>
  <si>
    <r>
      <rPr>
        <sz val="16"/>
        <rFont val="Arial"/>
        <family val="2"/>
      </rPr>
      <t xml:space="preserve">Water </t>
    </r>
    <r>
      <rPr>
        <sz val="16"/>
        <rFont val="微软雅黑"/>
        <family val="2"/>
        <charset val="134"/>
      </rPr>
      <t>水费</t>
    </r>
    <r>
      <rPr>
        <sz val="16"/>
        <rFont val="Arial"/>
        <family val="2"/>
      </rPr>
      <t xml:space="preserve">/ Sewer </t>
    </r>
    <r>
      <rPr>
        <sz val="16"/>
        <rFont val="微软雅黑"/>
        <family val="2"/>
        <charset val="134"/>
      </rPr>
      <t>排水费</t>
    </r>
  </si>
  <si>
    <t>60014505</t>
  </si>
  <si>
    <r>
      <rPr>
        <sz val="16"/>
        <rFont val="Arial"/>
        <family val="2"/>
      </rPr>
      <t xml:space="preserve">Fuel </t>
    </r>
    <r>
      <rPr>
        <sz val="16"/>
        <rFont val="微软雅黑"/>
        <family val="2"/>
        <charset val="134"/>
      </rPr>
      <t>燃料燃油</t>
    </r>
  </si>
  <si>
    <t>60014601</t>
  </si>
  <si>
    <r>
      <rPr>
        <sz val="16"/>
        <rFont val="Arial"/>
        <family val="2"/>
      </rPr>
      <t xml:space="preserve">Engineering Tools/Supplies </t>
    </r>
    <r>
      <rPr>
        <sz val="16"/>
        <rFont val="微软雅黑"/>
        <family val="2"/>
        <charset val="134"/>
      </rPr>
      <t>工程工具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用品</t>
    </r>
  </si>
  <si>
    <t>60014602</t>
  </si>
  <si>
    <r>
      <rPr>
        <sz val="16"/>
        <rFont val="Arial"/>
        <family val="2"/>
      </rPr>
      <t>Fire Extinguisher</t>
    </r>
    <r>
      <rPr>
        <sz val="16"/>
        <rFont val="微软雅黑"/>
        <family val="2"/>
        <charset val="134"/>
      </rPr>
      <t>灭火器</t>
    </r>
  </si>
  <si>
    <t>60014603</t>
  </si>
  <si>
    <r>
      <rPr>
        <sz val="16"/>
        <rFont val="Arial"/>
        <family val="2"/>
      </rPr>
      <t xml:space="preserve">Lighting/Bulbs </t>
    </r>
    <r>
      <rPr>
        <sz val="16"/>
        <rFont val="微软雅黑"/>
        <family val="2"/>
        <charset val="134"/>
      </rPr>
      <t>灯泡</t>
    </r>
  </si>
  <si>
    <t>60014604</t>
  </si>
  <si>
    <r>
      <rPr>
        <sz val="16"/>
        <rFont val="Arial"/>
        <family val="2"/>
      </rPr>
      <t xml:space="preserve">Air Conditioning </t>
    </r>
    <r>
      <rPr>
        <sz val="16"/>
        <rFont val="微软雅黑"/>
        <family val="2"/>
        <charset val="134"/>
      </rPr>
      <t>空调系统</t>
    </r>
  </si>
  <si>
    <t>60014605</t>
  </si>
  <si>
    <r>
      <rPr>
        <sz val="16"/>
        <rFont val="Arial"/>
        <family val="2"/>
      </rPr>
      <t xml:space="preserve">Buildings </t>
    </r>
    <r>
      <rPr>
        <sz val="16"/>
        <rFont val="微软雅黑"/>
        <family val="2"/>
        <charset val="134"/>
      </rPr>
      <t>建筑物</t>
    </r>
  </si>
  <si>
    <t>60014606</t>
  </si>
  <si>
    <r>
      <rPr>
        <sz val="16"/>
        <rFont val="Arial"/>
        <family val="2"/>
      </rPr>
      <t xml:space="preserve">Curtains/Drapes/Awning </t>
    </r>
    <r>
      <rPr>
        <sz val="16"/>
        <rFont val="微软雅黑"/>
        <family val="2"/>
        <charset val="134"/>
      </rPr>
      <t>窗帘</t>
    </r>
  </si>
  <si>
    <t>60014607</t>
  </si>
  <si>
    <r>
      <rPr>
        <sz val="16"/>
        <rFont val="Arial"/>
        <family val="2"/>
      </rPr>
      <t xml:space="preserve">Doors / Exits </t>
    </r>
    <r>
      <rPr>
        <sz val="16"/>
        <rFont val="微软雅黑"/>
        <family val="2"/>
        <charset val="134"/>
      </rPr>
      <t>门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安全出口</t>
    </r>
  </si>
  <si>
    <t>60014608</t>
  </si>
  <si>
    <r>
      <rPr>
        <sz val="16"/>
        <rFont val="Arial"/>
        <family val="2"/>
      </rPr>
      <t xml:space="preserve">Electrical Equipment </t>
    </r>
    <r>
      <rPr>
        <sz val="16"/>
        <rFont val="微软雅黑"/>
        <family val="2"/>
        <charset val="134"/>
      </rPr>
      <t>电器设备</t>
    </r>
  </si>
  <si>
    <t>60014609</t>
  </si>
  <si>
    <r>
      <rPr>
        <sz val="16"/>
        <rFont val="Arial"/>
        <family val="2"/>
      </rPr>
      <t xml:space="preserve">Elevators </t>
    </r>
    <r>
      <rPr>
        <sz val="16"/>
        <rFont val="微软雅黑"/>
        <family val="2"/>
        <charset val="134"/>
      </rPr>
      <t>电梯</t>
    </r>
  </si>
  <si>
    <t>60014610</t>
  </si>
  <si>
    <r>
      <rPr>
        <sz val="16"/>
        <rFont val="Arial"/>
        <family val="2"/>
      </rPr>
      <t xml:space="preserve">Fire Equipment </t>
    </r>
    <r>
      <rPr>
        <sz val="16"/>
        <rFont val="微软雅黑"/>
        <family val="2"/>
        <charset val="134"/>
      </rPr>
      <t>消防设备</t>
    </r>
  </si>
  <si>
    <t>60014611</t>
  </si>
  <si>
    <r>
      <rPr>
        <sz val="16"/>
        <rFont val="Arial"/>
        <family val="2"/>
      </rPr>
      <t xml:space="preserve">Floor Coverings </t>
    </r>
    <r>
      <rPr>
        <sz val="16"/>
        <rFont val="微软雅黑"/>
        <family val="2"/>
        <charset val="134"/>
      </rPr>
      <t>地面覆盖物</t>
    </r>
  </si>
  <si>
    <t>60014612</t>
  </si>
  <si>
    <r>
      <rPr>
        <sz val="16"/>
        <rFont val="Arial"/>
        <family val="2"/>
      </rPr>
      <t xml:space="preserve">Furniture  </t>
    </r>
    <r>
      <rPr>
        <sz val="16"/>
        <rFont val="微软雅黑"/>
        <family val="2"/>
        <charset val="134"/>
      </rPr>
      <t>家具</t>
    </r>
  </si>
  <si>
    <t>60014613</t>
  </si>
  <si>
    <r>
      <rPr>
        <sz val="16"/>
        <rFont val="Arial"/>
        <family val="2"/>
      </rPr>
      <t xml:space="preserve">Grounds &amp; Landscaping </t>
    </r>
    <r>
      <rPr>
        <sz val="16"/>
        <rFont val="微软雅黑"/>
        <family val="2"/>
        <charset val="134"/>
      </rPr>
      <t>户外绿化</t>
    </r>
  </si>
  <si>
    <t>60014614</t>
  </si>
  <si>
    <r>
      <rPr>
        <sz val="16"/>
        <rFont val="Arial"/>
        <family val="2"/>
      </rPr>
      <t xml:space="preserve">Gym Equipment </t>
    </r>
    <r>
      <rPr>
        <sz val="16"/>
        <rFont val="微软雅黑"/>
        <family val="2"/>
        <charset val="134"/>
      </rPr>
      <t>健身器材</t>
    </r>
  </si>
  <si>
    <t>60014615</t>
  </si>
  <si>
    <r>
      <rPr>
        <sz val="16"/>
        <rFont val="Arial"/>
        <family val="2"/>
      </rPr>
      <t xml:space="preserve">Heating </t>
    </r>
    <r>
      <rPr>
        <sz val="16"/>
        <rFont val="微软雅黑"/>
        <family val="2"/>
        <charset val="134"/>
      </rPr>
      <t>供暖设备</t>
    </r>
  </si>
  <si>
    <t>60014616</t>
  </si>
  <si>
    <r>
      <rPr>
        <sz val="16"/>
        <rFont val="Arial"/>
        <family val="2"/>
      </rPr>
      <t>WingCard/SafeLock System</t>
    </r>
    <r>
      <rPr>
        <sz val="16"/>
        <rFont val="微软雅黑"/>
        <family val="2"/>
        <charset val="134"/>
      </rPr>
      <t>客房门锁系统</t>
    </r>
  </si>
  <si>
    <t>60014617</t>
  </si>
  <si>
    <r>
      <rPr>
        <sz val="16"/>
        <rFont val="Arial"/>
        <family val="2"/>
      </rPr>
      <t xml:space="preserve">Kitchen Equipment </t>
    </r>
    <r>
      <rPr>
        <sz val="16"/>
        <rFont val="微软雅黑"/>
        <family val="2"/>
        <charset val="134"/>
      </rPr>
      <t>厨房设备</t>
    </r>
  </si>
  <si>
    <t>60014618</t>
  </si>
  <si>
    <r>
      <rPr>
        <sz val="16"/>
        <rFont val="Arial"/>
        <family val="2"/>
      </rPr>
      <t xml:space="preserve">Office Equipment </t>
    </r>
    <r>
      <rPr>
        <sz val="16"/>
        <rFont val="微软雅黑"/>
        <family val="2"/>
        <charset val="134"/>
      </rPr>
      <t>办公设备</t>
    </r>
  </si>
  <si>
    <t>60014619</t>
  </si>
  <si>
    <r>
      <rPr>
        <sz val="16"/>
        <rFont val="Arial"/>
        <family val="2"/>
      </rPr>
      <t xml:space="preserve">Painting &amp; Decorating </t>
    </r>
    <r>
      <rPr>
        <sz val="16"/>
        <rFont val="微软雅黑"/>
        <family val="2"/>
        <charset val="134"/>
      </rPr>
      <t>油漆及装饰</t>
    </r>
  </si>
  <si>
    <t>60014620</t>
  </si>
  <si>
    <r>
      <rPr>
        <sz val="16"/>
        <rFont val="Arial"/>
        <family val="2"/>
      </rPr>
      <t xml:space="preserve">Plumbing </t>
    </r>
    <r>
      <rPr>
        <sz val="16"/>
        <rFont val="微软雅黑"/>
        <family val="2"/>
        <charset val="134"/>
      </rPr>
      <t>管道</t>
    </r>
  </si>
  <si>
    <t>60014621</t>
  </si>
  <si>
    <r>
      <rPr>
        <sz val="16"/>
        <rFont val="Arial"/>
        <family val="2"/>
      </rPr>
      <t xml:space="preserve">Voice Center </t>
    </r>
    <r>
      <rPr>
        <sz val="16"/>
        <rFont val="微软雅黑"/>
        <family val="2"/>
        <charset val="134"/>
      </rPr>
      <t>中央广播系统</t>
    </r>
  </si>
  <si>
    <t>60014622</t>
  </si>
  <si>
    <r>
      <rPr>
        <sz val="16"/>
        <rFont val="Arial"/>
        <family val="2"/>
      </rPr>
      <t xml:space="preserve">Refridgeration </t>
    </r>
    <r>
      <rPr>
        <sz val="16"/>
        <rFont val="微软雅黑"/>
        <family val="2"/>
        <charset val="134"/>
      </rPr>
      <t>冰箱</t>
    </r>
  </si>
  <si>
    <t>60014623</t>
  </si>
  <si>
    <r>
      <rPr>
        <sz val="16"/>
        <rFont val="Arial"/>
        <family val="2"/>
      </rPr>
      <t xml:space="preserve">Signage </t>
    </r>
    <r>
      <rPr>
        <sz val="16"/>
        <rFont val="微软雅黑"/>
        <family val="2"/>
        <charset val="134"/>
      </rPr>
      <t>标牌</t>
    </r>
  </si>
  <si>
    <t>60014624</t>
  </si>
  <si>
    <r>
      <rPr>
        <sz val="16"/>
        <rFont val="Arial"/>
        <family val="2"/>
      </rPr>
      <t xml:space="preserve">Swimming Pool </t>
    </r>
    <r>
      <rPr>
        <sz val="16"/>
        <rFont val="微软雅黑"/>
        <family val="2"/>
        <charset val="134"/>
      </rPr>
      <t>游泳池</t>
    </r>
  </si>
  <si>
    <t>60014625</t>
  </si>
  <si>
    <r>
      <rPr>
        <sz val="16"/>
        <rFont val="Arial"/>
        <family val="2"/>
      </rPr>
      <t xml:space="preserve">Television / Video </t>
    </r>
    <r>
      <rPr>
        <sz val="16"/>
        <rFont val="微软雅黑"/>
        <family val="2"/>
        <charset val="134"/>
      </rPr>
      <t>电视</t>
    </r>
  </si>
  <si>
    <t>60014626</t>
  </si>
  <si>
    <r>
      <rPr>
        <sz val="16"/>
        <rFont val="Arial"/>
        <family val="2"/>
      </rPr>
      <t xml:space="preserve">Laundry Equipment </t>
    </r>
    <r>
      <rPr>
        <sz val="16"/>
        <rFont val="微软雅黑"/>
        <family val="2"/>
        <charset val="134"/>
      </rPr>
      <t>洗衣设备</t>
    </r>
  </si>
  <si>
    <t>60014627</t>
  </si>
  <si>
    <r>
      <rPr>
        <sz val="16"/>
        <rFont val="Arial"/>
        <family val="2"/>
      </rPr>
      <t xml:space="preserve">Telephone Equipment </t>
    </r>
    <r>
      <rPr>
        <sz val="16"/>
        <rFont val="微软雅黑"/>
        <family val="2"/>
        <charset val="134"/>
      </rPr>
      <t>电话设备</t>
    </r>
    <r>
      <rPr>
        <sz val="16"/>
        <rFont val="Arial"/>
        <family val="2"/>
      </rPr>
      <t xml:space="preserve"> </t>
    </r>
  </si>
  <si>
    <t>60014628</t>
  </si>
  <si>
    <r>
      <rPr>
        <sz val="16"/>
        <rFont val="Arial"/>
        <family val="2"/>
      </rPr>
      <t xml:space="preserve">Other Repairs </t>
    </r>
    <r>
      <rPr>
        <sz val="16"/>
        <rFont val="微软雅黑"/>
        <family val="2"/>
        <charset val="134"/>
      </rPr>
      <t>其他维修</t>
    </r>
  </si>
  <si>
    <t>60014629</t>
  </si>
  <si>
    <r>
      <rPr>
        <sz val="16"/>
        <rFont val="Arial"/>
        <family val="2"/>
      </rPr>
      <t xml:space="preserve">Waste Removal </t>
    </r>
    <r>
      <rPr>
        <sz val="16"/>
        <rFont val="微软雅黑"/>
        <family val="2"/>
        <charset val="134"/>
      </rPr>
      <t>废物处理</t>
    </r>
  </si>
  <si>
    <t>60014630</t>
  </si>
  <si>
    <r>
      <rPr>
        <sz val="16"/>
        <rFont val="Arial"/>
        <family val="2"/>
      </rPr>
      <t xml:space="preserve">Water Treatment Costs </t>
    </r>
    <r>
      <rPr>
        <sz val="16"/>
        <rFont val="微软雅黑"/>
        <family val="2"/>
        <charset val="134"/>
      </rPr>
      <t>水处理成本</t>
    </r>
  </si>
  <si>
    <t>60014710</t>
  </si>
  <si>
    <r>
      <rPr>
        <sz val="16"/>
        <rFont val="Arial"/>
        <family val="2"/>
      </rPr>
      <t xml:space="preserve">Photography </t>
    </r>
    <r>
      <rPr>
        <sz val="16"/>
        <rFont val="微软雅黑"/>
        <family val="2"/>
        <charset val="134"/>
      </rPr>
      <t>摄影费</t>
    </r>
  </si>
  <si>
    <t>60014720</t>
  </si>
  <si>
    <r>
      <rPr>
        <sz val="16"/>
        <rFont val="Arial"/>
        <family val="2"/>
      </rPr>
      <t xml:space="preserve">Production </t>
    </r>
    <r>
      <rPr>
        <sz val="16"/>
        <rFont val="微软雅黑"/>
        <family val="2"/>
        <charset val="134"/>
      </rPr>
      <t>制作费</t>
    </r>
  </si>
  <si>
    <t>60014731</t>
  </si>
  <si>
    <r>
      <rPr>
        <sz val="16"/>
        <rFont val="Arial"/>
        <family val="2"/>
      </rPr>
      <t xml:space="preserve">In-house Graphics </t>
    </r>
    <r>
      <rPr>
        <sz val="16"/>
        <rFont val="微软雅黑"/>
        <family val="2"/>
        <charset val="134"/>
      </rPr>
      <t>室内标牌制作费</t>
    </r>
  </si>
  <si>
    <t>60014732</t>
  </si>
  <si>
    <r>
      <rPr>
        <sz val="16"/>
        <rFont val="Arial"/>
        <family val="2"/>
      </rPr>
      <t xml:space="preserve">Out-door Signage </t>
    </r>
    <r>
      <rPr>
        <sz val="16"/>
        <rFont val="微软雅黑"/>
        <family val="2"/>
        <charset val="134"/>
      </rPr>
      <t>室外标牌制作费</t>
    </r>
  </si>
  <si>
    <t>60014751</t>
  </si>
  <si>
    <r>
      <rPr>
        <sz val="16"/>
        <rFont val="Arial"/>
        <family val="2"/>
      </rPr>
      <t xml:space="preserve">Advertising </t>
    </r>
    <r>
      <rPr>
        <sz val="16"/>
        <rFont val="微软雅黑"/>
        <family val="2"/>
        <charset val="134"/>
      </rPr>
      <t>广告</t>
    </r>
    <r>
      <rPr>
        <sz val="16"/>
        <rFont val="Arial"/>
        <family val="2"/>
      </rPr>
      <t xml:space="preserve"> - Brand </t>
    </r>
    <r>
      <rPr>
        <sz val="16"/>
        <rFont val="微软雅黑"/>
        <family val="2"/>
        <charset val="134"/>
      </rPr>
      <t>品牌广告</t>
    </r>
  </si>
  <si>
    <t>60014752</t>
  </si>
  <si>
    <r>
      <rPr>
        <sz val="16"/>
        <rFont val="Arial"/>
        <family val="2"/>
      </rPr>
      <t xml:space="preserve">Advertising </t>
    </r>
    <r>
      <rPr>
        <sz val="16"/>
        <rFont val="微软雅黑"/>
        <family val="2"/>
        <charset val="134"/>
      </rPr>
      <t>广告</t>
    </r>
    <r>
      <rPr>
        <sz val="16"/>
        <rFont val="Arial"/>
        <family val="2"/>
      </rPr>
      <t xml:space="preserve"> - Regional </t>
    </r>
    <r>
      <rPr>
        <sz val="16"/>
        <rFont val="微软雅黑"/>
        <family val="2"/>
        <charset val="134"/>
      </rPr>
      <t>区域广告</t>
    </r>
  </si>
  <si>
    <t>60014753</t>
  </si>
  <si>
    <r>
      <rPr>
        <sz val="16"/>
        <rFont val="Arial"/>
        <family val="2"/>
      </rPr>
      <t xml:space="preserve">Advertising </t>
    </r>
    <r>
      <rPr>
        <sz val="16"/>
        <rFont val="微软雅黑"/>
        <family val="2"/>
        <charset val="134"/>
      </rPr>
      <t>广告</t>
    </r>
    <r>
      <rPr>
        <sz val="16"/>
        <rFont val="Arial"/>
        <family val="2"/>
      </rPr>
      <t xml:space="preserve"> - Outdoor </t>
    </r>
    <r>
      <rPr>
        <sz val="16"/>
        <rFont val="微软雅黑"/>
        <family val="2"/>
        <charset val="134"/>
      </rPr>
      <t>户外广告</t>
    </r>
  </si>
  <si>
    <t>60014754</t>
  </si>
  <si>
    <r>
      <rPr>
        <sz val="16"/>
        <rFont val="Arial"/>
        <family val="2"/>
      </rPr>
      <t xml:space="preserve">Advertising </t>
    </r>
    <r>
      <rPr>
        <sz val="16"/>
        <rFont val="微软雅黑"/>
        <family val="2"/>
        <charset val="134"/>
      </rPr>
      <t>广告</t>
    </r>
    <r>
      <rPr>
        <sz val="16"/>
        <rFont val="Arial"/>
        <family val="2"/>
      </rPr>
      <t xml:space="preserve"> - Hotel </t>
    </r>
    <r>
      <rPr>
        <sz val="16"/>
        <rFont val="微软雅黑"/>
        <family val="2"/>
        <charset val="134"/>
      </rPr>
      <t>酒店广告费</t>
    </r>
  </si>
  <si>
    <t>60014755</t>
  </si>
  <si>
    <r>
      <rPr>
        <sz val="16"/>
        <rFont val="Arial"/>
        <family val="2"/>
      </rPr>
      <t xml:space="preserve">Media </t>
    </r>
    <r>
      <rPr>
        <sz val="16"/>
        <rFont val="微软雅黑"/>
        <family val="2"/>
        <charset val="134"/>
      </rPr>
      <t>媒体</t>
    </r>
    <r>
      <rPr>
        <sz val="16"/>
        <rFont val="Arial"/>
        <family val="2"/>
      </rPr>
      <t xml:space="preserve"> - Regional </t>
    </r>
    <r>
      <rPr>
        <sz val="16"/>
        <rFont val="微软雅黑"/>
        <family val="2"/>
        <charset val="134"/>
      </rPr>
      <t>区域</t>
    </r>
  </si>
  <si>
    <t>60014756</t>
  </si>
  <si>
    <r>
      <rPr>
        <sz val="16"/>
        <rFont val="Arial"/>
        <family val="2"/>
      </rPr>
      <t xml:space="preserve">Media </t>
    </r>
    <r>
      <rPr>
        <sz val="16"/>
        <rFont val="微软雅黑"/>
        <family val="2"/>
        <charset val="134"/>
      </rPr>
      <t>媒体</t>
    </r>
    <r>
      <rPr>
        <sz val="16"/>
        <rFont val="Arial"/>
        <family val="2"/>
      </rPr>
      <t xml:space="preserve"> - Hotel </t>
    </r>
    <r>
      <rPr>
        <sz val="16"/>
        <rFont val="微软雅黑"/>
        <family val="2"/>
        <charset val="134"/>
      </rPr>
      <t>酒店</t>
    </r>
  </si>
  <si>
    <t>60014757</t>
  </si>
  <si>
    <r>
      <rPr>
        <sz val="16"/>
        <rFont val="Arial"/>
        <family val="2"/>
      </rPr>
      <t xml:space="preserve">Media </t>
    </r>
    <r>
      <rPr>
        <sz val="16"/>
        <rFont val="微软雅黑"/>
        <family val="2"/>
        <charset val="134"/>
      </rPr>
      <t>媒体</t>
    </r>
    <r>
      <rPr>
        <sz val="16"/>
        <rFont val="Arial"/>
        <family val="2"/>
      </rPr>
      <t xml:space="preserve">- F&amp;B </t>
    </r>
    <r>
      <rPr>
        <sz val="16"/>
        <rFont val="微软雅黑"/>
        <family val="2"/>
        <charset val="134"/>
      </rPr>
      <t>餐饮</t>
    </r>
  </si>
  <si>
    <t>60014758</t>
  </si>
  <si>
    <r>
      <rPr>
        <sz val="16"/>
        <rFont val="Arial"/>
        <family val="2"/>
      </rPr>
      <t xml:space="preserve">Other Advertising </t>
    </r>
    <r>
      <rPr>
        <sz val="16"/>
        <rFont val="微软雅黑"/>
        <family val="2"/>
        <charset val="134"/>
      </rPr>
      <t>其他广告</t>
    </r>
  </si>
  <si>
    <t>60014760</t>
  </si>
  <si>
    <r>
      <rPr>
        <sz val="16"/>
        <rFont val="Arial"/>
        <family val="2"/>
      </rPr>
      <t xml:space="preserve">Brochures </t>
    </r>
    <r>
      <rPr>
        <sz val="16"/>
        <rFont val="微软雅黑"/>
        <family val="2"/>
        <charset val="134"/>
      </rPr>
      <t>宣传册</t>
    </r>
  </si>
  <si>
    <t>60014770</t>
  </si>
  <si>
    <r>
      <rPr>
        <sz val="16"/>
        <rFont val="Arial"/>
        <family val="2"/>
      </rPr>
      <t xml:space="preserve">Loyalty Program </t>
    </r>
    <r>
      <rPr>
        <sz val="16"/>
        <rFont val="微软雅黑"/>
        <family val="2"/>
        <charset val="134"/>
      </rPr>
      <t>常住客计划</t>
    </r>
  </si>
  <si>
    <t>60014780</t>
  </si>
  <si>
    <r>
      <rPr>
        <sz val="16"/>
        <rFont val="Arial"/>
        <family val="2"/>
      </rPr>
      <t xml:space="preserve">Public Relations Expenses </t>
    </r>
    <r>
      <rPr>
        <sz val="16"/>
        <rFont val="微软雅黑"/>
        <family val="2"/>
        <charset val="134"/>
      </rPr>
      <t>公共关系费用</t>
    </r>
  </si>
  <si>
    <t>60014790</t>
  </si>
  <si>
    <r>
      <rPr>
        <sz val="16"/>
        <rFont val="Arial"/>
        <family val="2"/>
      </rPr>
      <t xml:space="preserve">Trade Show </t>
    </r>
    <r>
      <rPr>
        <sz val="16"/>
        <rFont val="微软雅黑"/>
        <family val="2"/>
        <charset val="134"/>
      </rPr>
      <t>贸易展览</t>
    </r>
  </si>
  <si>
    <t>60014795</t>
  </si>
  <si>
    <r>
      <rPr>
        <sz val="16"/>
        <rFont val="Arial"/>
        <family val="2"/>
      </rPr>
      <t xml:space="preserve">Bater Agreement </t>
    </r>
    <r>
      <rPr>
        <sz val="16"/>
        <rFont val="微软雅黑"/>
        <family val="2"/>
        <charset val="134"/>
      </rPr>
      <t>易货协议</t>
    </r>
  </si>
  <si>
    <t>60014800</t>
  </si>
  <si>
    <r>
      <rPr>
        <sz val="16"/>
        <rFont val="Arial"/>
        <family val="2"/>
      </rPr>
      <t xml:space="preserve">Fam Trip </t>
    </r>
    <r>
      <rPr>
        <sz val="16"/>
        <rFont val="微软雅黑"/>
        <family val="2"/>
        <charset val="134"/>
      </rPr>
      <t>熟客旅行计划</t>
    </r>
  </si>
  <si>
    <t>60014810</t>
  </si>
  <si>
    <r>
      <rPr>
        <sz val="16"/>
        <rFont val="Arial"/>
        <family val="2"/>
      </rPr>
      <t xml:space="preserve">Marketing Fund </t>
    </r>
    <r>
      <rPr>
        <sz val="16"/>
        <rFont val="微软雅黑"/>
        <family val="2"/>
        <charset val="134"/>
      </rPr>
      <t>国际市场营销基金</t>
    </r>
  </si>
  <si>
    <t>60014820</t>
  </si>
  <si>
    <r>
      <rPr>
        <sz val="16"/>
        <rFont val="Arial"/>
        <family val="2"/>
      </rPr>
      <t>DMH Membership DMH</t>
    </r>
    <r>
      <rPr>
        <sz val="16"/>
        <rFont val="微软雅黑"/>
        <family val="2"/>
        <charset val="134"/>
      </rPr>
      <t>会员</t>
    </r>
  </si>
  <si>
    <t>60014830</t>
  </si>
  <si>
    <r>
      <rPr>
        <sz val="16"/>
        <rFont val="Arial"/>
        <family val="2"/>
      </rPr>
      <t xml:space="preserve">Club Assessments </t>
    </r>
    <r>
      <rPr>
        <sz val="16"/>
        <rFont val="微软雅黑"/>
        <family val="2"/>
        <charset val="134"/>
      </rPr>
      <t>俱乐部费</t>
    </r>
  </si>
  <si>
    <t>60015110</t>
  </si>
  <si>
    <r>
      <rPr>
        <sz val="16"/>
        <rFont val="Arial"/>
        <family val="2"/>
      </rPr>
      <t xml:space="preserve">Hardware Maintenance </t>
    </r>
    <r>
      <rPr>
        <sz val="16"/>
        <rFont val="微软雅黑"/>
        <family val="2"/>
        <charset val="134"/>
      </rPr>
      <t>电脑硬件维护</t>
    </r>
  </si>
  <si>
    <t>60015120</t>
  </si>
  <si>
    <r>
      <rPr>
        <sz val="16"/>
        <rFont val="Arial"/>
        <family val="2"/>
      </rPr>
      <t xml:space="preserve">Software Maintenance </t>
    </r>
    <r>
      <rPr>
        <sz val="16"/>
        <rFont val="微软雅黑"/>
        <family val="2"/>
        <charset val="134"/>
      </rPr>
      <t>电脑软件维护</t>
    </r>
  </si>
  <si>
    <t>60015130</t>
  </si>
  <si>
    <r>
      <rPr>
        <sz val="16"/>
        <rFont val="Arial"/>
        <family val="2"/>
      </rPr>
      <t xml:space="preserve">Internet Expenses </t>
    </r>
    <r>
      <rPr>
        <sz val="16"/>
        <rFont val="微软雅黑"/>
        <family val="2"/>
        <charset val="134"/>
      </rPr>
      <t>网络费用</t>
    </r>
  </si>
  <si>
    <t>Executive Office 行政办</t>
  </si>
  <si>
    <t>&lt;&lt;41001</t>
  </si>
  <si>
    <t>Finance 财务部</t>
  </si>
  <si>
    <t>&lt;&lt;41002</t>
  </si>
  <si>
    <t>Centralized Accounting Charges 集中化服务费用</t>
  </si>
  <si>
    <t>Human Recource 人力资源部</t>
  </si>
  <si>
    <t>&lt;&lt;41003</t>
  </si>
  <si>
    <t>Employee Relations 员工关系</t>
  </si>
  <si>
    <t>Security 保安部</t>
  </si>
  <si>
    <t>&lt;&lt;41004</t>
  </si>
  <si>
    <t>IT 技术部</t>
  </si>
  <si>
    <t>&lt;&lt;42004</t>
  </si>
  <si>
    <r>
      <rPr>
        <b/>
        <sz val="18"/>
        <rFont val="Arial"/>
        <family val="2"/>
      </rPr>
      <t xml:space="preserve">Repairs &amp; Maintenance </t>
    </r>
    <r>
      <rPr>
        <b/>
        <sz val="18"/>
        <rFont val="微软雅黑"/>
        <family val="2"/>
        <charset val="134"/>
      </rPr>
      <t>工程部</t>
    </r>
  </si>
  <si>
    <t>&lt;&lt;60014640</t>
  </si>
  <si>
    <r>
      <rPr>
        <sz val="16"/>
        <rFont val="Arial"/>
        <family val="2"/>
      </rPr>
      <t xml:space="preserve">Maintenance Contract </t>
    </r>
    <r>
      <rPr>
        <sz val="16"/>
        <rFont val="宋体"/>
        <family val="3"/>
        <charset val="134"/>
      </rPr>
      <t>维修合同</t>
    </r>
  </si>
  <si>
    <r>
      <rPr>
        <b/>
        <sz val="18"/>
        <rFont val="Arial"/>
        <family val="2"/>
      </rPr>
      <t xml:space="preserve">Utility </t>
    </r>
    <r>
      <rPr>
        <b/>
        <sz val="18"/>
        <rFont val="微软雅黑"/>
        <family val="2"/>
        <charset val="134"/>
      </rPr>
      <t>能源</t>
    </r>
  </si>
  <si>
    <r>
      <rPr>
        <b/>
        <sz val="16"/>
        <rFont val="Arial"/>
        <family val="2"/>
      </rPr>
      <t xml:space="preserve">Total Operating Expenses </t>
    </r>
    <r>
      <rPr>
        <b/>
        <sz val="16"/>
        <rFont val="宋体"/>
        <family val="3"/>
        <charset val="134"/>
      </rPr>
      <t>能源费用合计</t>
    </r>
  </si>
  <si>
    <r>
      <rPr>
        <b/>
        <sz val="16"/>
        <rFont val="Arial"/>
        <family val="2"/>
      </rPr>
      <t xml:space="preserve">STATISTIC </t>
    </r>
    <r>
      <rPr>
        <b/>
        <sz val="16"/>
        <rFont val="宋体"/>
        <family val="3"/>
        <charset val="134"/>
      </rPr>
      <t>统计信息</t>
    </r>
  </si>
  <si>
    <t>90020110</t>
  </si>
  <si>
    <r>
      <rPr>
        <sz val="16"/>
        <rFont val="Arial"/>
        <family val="2"/>
      </rPr>
      <t xml:space="preserve">Electricity </t>
    </r>
    <r>
      <rPr>
        <sz val="16"/>
        <rFont val="微软雅黑"/>
        <family val="2"/>
        <charset val="134"/>
      </rPr>
      <t>电费</t>
    </r>
    <r>
      <rPr>
        <sz val="16"/>
        <rFont val="Arial"/>
        <family val="2"/>
      </rPr>
      <t>（KWH）</t>
    </r>
  </si>
  <si>
    <t>90020120</t>
  </si>
  <si>
    <r>
      <rPr>
        <sz val="16"/>
        <rFont val="Arial"/>
        <family val="2"/>
      </rPr>
      <t xml:space="preserve">Gas </t>
    </r>
    <r>
      <rPr>
        <sz val="16"/>
        <rFont val="微软雅黑"/>
        <family val="2"/>
        <charset val="134"/>
      </rPr>
      <t>天然气</t>
    </r>
    <r>
      <rPr>
        <sz val="16"/>
        <rFont val="Arial"/>
        <family val="2"/>
      </rPr>
      <t>（立方米）</t>
    </r>
  </si>
  <si>
    <t>90020130</t>
  </si>
  <si>
    <t>90020140</t>
  </si>
  <si>
    <r>
      <rPr>
        <sz val="16"/>
        <rFont val="Arial"/>
        <family val="2"/>
      </rPr>
      <t xml:space="preserve">Water </t>
    </r>
    <r>
      <rPr>
        <sz val="16"/>
        <rFont val="微软雅黑"/>
        <family val="2"/>
        <charset val="134"/>
      </rPr>
      <t>水费</t>
    </r>
    <r>
      <rPr>
        <sz val="16"/>
        <rFont val="Arial"/>
        <family val="2"/>
      </rPr>
      <t xml:space="preserve">/ Sewer </t>
    </r>
    <r>
      <rPr>
        <sz val="16"/>
        <rFont val="微软雅黑"/>
        <family val="2"/>
        <charset val="134"/>
      </rPr>
      <t>排水费</t>
    </r>
    <r>
      <rPr>
        <sz val="16"/>
        <rFont val="Arial"/>
        <family val="2"/>
      </rPr>
      <t>（立方米）</t>
    </r>
  </si>
  <si>
    <t>90020150</t>
  </si>
  <si>
    <t>&lt;&lt;3..39999999</t>
  </si>
  <si>
    <r>
      <rPr>
        <sz val="16"/>
        <rFont val="Arial"/>
        <family val="2"/>
      </rPr>
      <t xml:space="preserve">Total Revenue </t>
    </r>
    <r>
      <rPr>
        <sz val="16"/>
        <rFont val="宋体"/>
        <family val="3"/>
        <charset val="134"/>
      </rPr>
      <t>总收入</t>
    </r>
  </si>
  <si>
    <t>电</t>
  </si>
  <si>
    <t>气</t>
  </si>
  <si>
    <t>水</t>
  </si>
  <si>
    <r>
      <rPr>
        <b/>
        <sz val="18"/>
        <rFont val="Arial"/>
        <family val="2"/>
      </rPr>
      <t xml:space="preserve">Sales &amp; Marketing </t>
    </r>
    <r>
      <rPr>
        <b/>
        <sz val="18"/>
        <rFont val="微软雅黑"/>
        <family val="2"/>
        <charset val="134"/>
      </rPr>
      <t>市场销售部</t>
    </r>
  </si>
  <si>
    <t>Laundry 洗衣</t>
  </si>
  <si>
    <t>&lt;&lt;52001</t>
  </si>
  <si>
    <t>60990010</t>
  </si>
  <si>
    <t>Staff Canteen 员工餐厅</t>
  </si>
  <si>
    <t>&lt;&lt;50031</t>
  </si>
  <si>
    <t>50031002</t>
  </si>
  <si>
    <t>Fixed Charge 固定支出</t>
  </si>
  <si>
    <t>LY %</t>
  </si>
  <si>
    <t>FIXED CHARGE</t>
  </si>
  <si>
    <t>Tax and Related Fees 税和相关附加费</t>
  </si>
  <si>
    <r>
      <rPr>
        <sz val="16"/>
        <rFont val="Arial"/>
        <family val="2"/>
      </rPr>
      <t xml:space="preserve"> Basic Management Fee</t>
    </r>
    <r>
      <rPr>
        <sz val="16"/>
        <rFont val="宋体"/>
        <family val="3"/>
        <charset val="134"/>
      </rPr>
      <t>基本管理费</t>
    </r>
  </si>
  <si>
    <t>Incentive Fee奖励管理费</t>
  </si>
  <si>
    <t>&lt;&lt;70010300</t>
  </si>
  <si>
    <t>Rental - Hotel Building 酒店建筑租金</t>
  </si>
  <si>
    <t>&lt;&lt;70010400</t>
  </si>
  <si>
    <t>Rental - Staff Dormitory 员工宿舍租金</t>
  </si>
  <si>
    <t>Amortn-Preoperating Exp摊销 - 开办费</t>
  </si>
  <si>
    <t>Amortn-Others摊销 - 其它</t>
  </si>
  <si>
    <t>Provn For F,F &amp; E固定资产储备</t>
  </si>
  <si>
    <t>&lt;&lt;70010800</t>
  </si>
  <si>
    <t>Insurance-Bldgs/Content保险费 - 建筑物</t>
  </si>
  <si>
    <t>&lt;&lt;70010900</t>
  </si>
  <si>
    <t>Insurance-Hotel保险费 - 酒店</t>
  </si>
  <si>
    <t>&lt;&lt;70011000</t>
  </si>
  <si>
    <t>Insurance-Others保险费 - 其他</t>
  </si>
  <si>
    <t>Other Non Operating (Income) Expenses 其他非营运费用</t>
  </si>
  <si>
    <t>Total Fixed Charge 固定费用支出合计</t>
  </si>
  <si>
    <t>Interest (Income) 利息收入</t>
  </si>
  <si>
    <r>
      <t xml:space="preserve">Rooms Profit </t>
    </r>
    <r>
      <rPr>
        <sz val="16"/>
        <rFont val="微软雅黑"/>
        <family val="2"/>
        <charset val="134"/>
      </rPr>
      <t>客房利润</t>
    </r>
    <phoneticPr fontId="56" type="noConversion"/>
  </si>
  <si>
    <r>
      <t xml:space="preserve">Utilities </t>
    </r>
    <r>
      <rPr>
        <sz val="16"/>
        <rFont val="微软雅黑"/>
        <family val="2"/>
        <charset val="134"/>
      </rPr>
      <t>能源</t>
    </r>
    <phoneticPr fontId="56" type="noConversion"/>
  </si>
  <si>
    <t>Total Salary</t>
  </si>
  <si>
    <r>
      <t xml:space="preserve">Loyalty Program </t>
    </r>
    <r>
      <rPr>
        <sz val="16"/>
        <rFont val="微软雅黑"/>
        <family val="2"/>
        <charset val="134"/>
      </rPr>
      <t>常住客计划（</t>
    </r>
    <r>
      <rPr>
        <sz val="16"/>
        <rFont val="Arial"/>
        <family val="2"/>
      </rPr>
      <t>Mlife</t>
    </r>
    <r>
      <rPr>
        <sz val="16"/>
        <rFont val="微软雅黑"/>
        <family val="2"/>
        <charset val="134"/>
      </rPr>
      <t>积分）</t>
    </r>
    <phoneticPr fontId="56" type="noConversion"/>
  </si>
  <si>
    <r>
      <t xml:space="preserve">Contract Services </t>
    </r>
    <r>
      <rPr>
        <sz val="16"/>
        <rFont val="宋体"/>
        <family val="3"/>
        <charset val="134"/>
      </rPr>
      <t>服务合同</t>
    </r>
    <phoneticPr fontId="56" type="noConversion"/>
  </si>
  <si>
    <t>&lt;&lt;60014116</t>
    <phoneticPr fontId="56" type="noConversion"/>
  </si>
  <si>
    <t>&lt;&lt;50010100..50010200,50010500..50010700,50012500..50012600</t>
    <phoneticPr fontId="56" type="noConversion"/>
  </si>
  <si>
    <t>&lt;&lt;60014104</t>
    <phoneticPr fontId="56" type="noConversion"/>
  </si>
  <si>
    <t>50010600</t>
  </si>
  <si>
    <t>50010600</t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</si>
  <si>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外包</t>
    </r>
    <phoneticPr fontId="56" type="noConversion"/>
  </si>
  <si>
    <t>Salary &amp; Wage - Others工资-其他-中江</t>
  </si>
  <si>
    <t>Salary &amp; Wage - Others工资-其他-外包</t>
  </si>
  <si>
    <t>Labor Cost 人工总成本（不含合同外包）</t>
    <phoneticPr fontId="56" type="noConversion"/>
  </si>
  <si>
    <r>
      <t xml:space="preserve">Total Rooms </t>
    </r>
    <r>
      <rPr>
        <b/>
        <sz val="16"/>
        <rFont val="微软雅黑"/>
        <family val="2"/>
        <charset val="134"/>
      </rPr>
      <t>总房间数</t>
    </r>
  </si>
  <si>
    <r>
      <t xml:space="preserve">FOOD REVENUE </t>
    </r>
    <r>
      <rPr>
        <b/>
        <sz val="16"/>
        <rFont val="宋体"/>
        <family val="3"/>
        <charset val="134"/>
      </rPr>
      <t>食品收入</t>
    </r>
  </si>
  <si>
    <r>
      <t xml:space="preserve">Total Food Revenue </t>
    </r>
    <r>
      <rPr>
        <b/>
        <sz val="16"/>
        <rFont val="宋体"/>
        <family val="3"/>
        <charset val="134"/>
      </rPr>
      <t>食品收入合计</t>
    </r>
  </si>
  <si>
    <r>
      <t xml:space="preserve">BEVERAGE REVENUE </t>
    </r>
    <r>
      <rPr>
        <b/>
        <sz val="16"/>
        <rFont val="宋体"/>
        <family val="3"/>
        <charset val="134"/>
      </rPr>
      <t>饮品收入</t>
    </r>
  </si>
  <si>
    <r>
      <t xml:space="preserve">Total Beverage Revenue </t>
    </r>
    <r>
      <rPr>
        <b/>
        <sz val="16"/>
        <rFont val="宋体"/>
        <family val="3"/>
        <charset val="134"/>
      </rPr>
      <t>饮品收入合计</t>
    </r>
  </si>
  <si>
    <r>
      <t xml:space="preserve">Meeting Rooms Rental </t>
    </r>
    <r>
      <rPr>
        <sz val="16"/>
        <rFont val="宋体"/>
        <family val="3"/>
        <charset val="134"/>
      </rPr>
      <t>会议室租赁</t>
    </r>
  </si>
  <si>
    <r>
      <t xml:space="preserve">Other Revenue </t>
    </r>
    <r>
      <rPr>
        <sz val="16"/>
        <rFont val="宋体"/>
        <family val="3"/>
        <charset val="134"/>
      </rPr>
      <t>其他餐饮收入</t>
    </r>
  </si>
  <si>
    <r>
      <t xml:space="preserve">Service Charge </t>
    </r>
    <r>
      <rPr>
        <sz val="16"/>
        <rFont val="宋体"/>
        <family val="3"/>
        <charset val="134"/>
      </rPr>
      <t>服务费</t>
    </r>
  </si>
  <si>
    <r>
      <t xml:space="preserve">Total F&amp;B Revenue </t>
    </r>
    <r>
      <rPr>
        <b/>
        <sz val="16"/>
        <rFont val="宋体"/>
        <family val="3"/>
        <charset val="134"/>
      </rPr>
      <t>餐饮收入合计</t>
    </r>
  </si>
  <si>
    <r>
      <t xml:space="preserve">Other Cost </t>
    </r>
    <r>
      <rPr>
        <sz val="16"/>
        <rFont val="宋体"/>
        <family val="3"/>
        <charset val="134"/>
      </rPr>
      <t>其他杂项成本</t>
    </r>
  </si>
  <si>
    <r>
      <t xml:space="preserve">Total Cost of Sales </t>
    </r>
    <r>
      <rPr>
        <b/>
        <sz val="16"/>
        <rFont val="宋体"/>
        <family val="3"/>
        <charset val="134"/>
      </rPr>
      <t>餐饮成本合计</t>
    </r>
  </si>
  <si>
    <r>
      <t xml:space="preserve">Total Labour Costs </t>
    </r>
    <r>
      <rPr>
        <b/>
        <sz val="16"/>
        <rFont val="宋体"/>
        <family val="3"/>
        <charset val="134"/>
      </rPr>
      <t>人工成本合计</t>
    </r>
  </si>
  <si>
    <r>
      <t xml:space="preserve">OPERATING EXPENSES </t>
    </r>
    <r>
      <rPr>
        <b/>
        <sz val="16"/>
        <rFont val="宋体"/>
        <family val="3"/>
        <charset val="134"/>
      </rPr>
      <t>营运费用</t>
    </r>
  </si>
  <si>
    <r>
      <t xml:space="preserve">Total Operating Expenses </t>
    </r>
    <r>
      <rPr>
        <b/>
        <sz val="16"/>
        <rFont val="宋体"/>
        <family val="3"/>
        <charset val="134"/>
      </rPr>
      <t>营运费用合计</t>
    </r>
  </si>
  <si>
    <r>
      <t xml:space="preserve">Department Profit/(Loss) </t>
    </r>
    <r>
      <rPr>
        <b/>
        <sz val="16"/>
        <rFont val="宋体"/>
        <family val="3"/>
        <charset val="134"/>
      </rPr>
      <t>部门利润（亏损）</t>
    </r>
  </si>
  <si>
    <r>
      <t xml:space="preserve">Department Profit/(Loss)% </t>
    </r>
    <r>
      <rPr>
        <b/>
        <sz val="16"/>
        <rFont val="宋体"/>
        <family val="3"/>
        <charset val="134"/>
      </rPr>
      <t>部门利润（亏损）率</t>
    </r>
    <r>
      <rPr>
        <b/>
        <sz val="16"/>
        <rFont val="Arial"/>
        <family val="2"/>
      </rPr>
      <t>%</t>
    </r>
  </si>
  <si>
    <r>
      <t xml:space="preserve">COVERS </t>
    </r>
    <r>
      <rPr>
        <b/>
        <sz val="16"/>
        <rFont val="宋体"/>
        <family val="3"/>
        <charset val="134"/>
      </rPr>
      <t>消费人数</t>
    </r>
  </si>
  <si>
    <r>
      <t xml:space="preserve">Total Covers </t>
    </r>
    <r>
      <rPr>
        <b/>
        <sz val="16"/>
        <rFont val="微软雅黑"/>
        <family val="2"/>
        <charset val="134"/>
      </rPr>
      <t>消费人数合计</t>
    </r>
  </si>
  <si>
    <r>
      <t xml:space="preserve">Average Check </t>
    </r>
    <r>
      <rPr>
        <b/>
        <sz val="16"/>
        <rFont val="宋体"/>
        <family val="3"/>
        <charset val="134"/>
      </rPr>
      <t>平均消费</t>
    </r>
  </si>
  <si>
    <r>
      <t xml:space="preserve">Average Check </t>
    </r>
    <r>
      <rPr>
        <b/>
        <sz val="16"/>
        <rFont val="微软雅黑"/>
        <family val="2"/>
        <charset val="134"/>
      </rPr>
      <t>平均消费</t>
    </r>
  </si>
  <si>
    <r>
      <t xml:space="preserve">Cost Per Cover </t>
    </r>
    <r>
      <rPr>
        <b/>
        <sz val="16"/>
        <rFont val="宋体"/>
        <family val="3"/>
        <charset val="134"/>
      </rPr>
      <t>人均成本</t>
    </r>
  </si>
  <si>
    <r>
      <t xml:space="preserve">LABOUR COST ANALYSIS </t>
    </r>
    <r>
      <rPr>
        <b/>
        <sz val="16"/>
        <rFont val="宋体"/>
        <family val="3"/>
        <charset val="134"/>
      </rPr>
      <t>人工成本费用</t>
    </r>
  </si>
  <si>
    <r>
      <t xml:space="preserve">Salary &amp; Wages </t>
    </r>
    <r>
      <rPr>
        <b/>
        <sz val="16"/>
        <rFont val="宋体"/>
        <family val="3"/>
        <charset val="134"/>
      </rPr>
      <t>工资费用</t>
    </r>
  </si>
  <si>
    <r>
      <t xml:space="preserve">Managers </t>
    </r>
    <r>
      <rPr>
        <sz val="16"/>
        <rFont val="微软雅黑"/>
        <family val="2"/>
        <charset val="134"/>
      </rPr>
      <t>经理</t>
    </r>
  </si>
  <si>
    <r>
      <t xml:space="preserve">Services </t>
    </r>
    <r>
      <rPr>
        <sz val="16"/>
        <rFont val="微软雅黑"/>
        <family val="2"/>
        <charset val="134"/>
      </rPr>
      <t>服务</t>
    </r>
  </si>
  <si>
    <r>
      <t xml:space="preserve">Kitchen </t>
    </r>
    <r>
      <rPr>
        <sz val="16"/>
        <rFont val="微软雅黑"/>
        <family val="2"/>
        <charset val="134"/>
      </rPr>
      <t>厨房</t>
    </r>
  </si>
  <si>
    <r>
      <t xml:space="preserve">Total Remuneration </t>
    </r>
    <r>
      <rPr>
        <b/>
        <sz val="16"/>
        <rFont val="宋体"/>
        <family val="3"/>
        <charset val="134"/>
      </rPr>
      <t>薪酬合计</t>
    </r>
  </si>
  <si>
    <r>
      <t xml:space="preserve">Overtime </t>
    </r>
    <r>
      <rPr>
        <sz val="16"/>
        <rFont val="微软雅黑"/>
        <family val="2"/>
        <charset val="134"/>
      </rPr>
      <t>加班</t>
    </r>
  </si>
  <si>
    <r>
      <t xml:space="preserve">Bonus </t>
    </r>
    <r>
      <rPr>
        <sz val="16"/>
        <rFont val="微软雅黑"/>
        <family val="2"/>
        <charset val="134"/>
      </rPr>
      <t>年终奖金</t>
    </r>
  </si>
  <si>
    <r>
      <t xml:space="preserve">Allowance </t>
    </r>
    <r>
      <rPr>
        <sz val="16"/>
        <rFont val="微软雅黑"/>
        <family val="2"/>
        <charset val="134"/>
      </rPr>
      <t>津贴</t>
    </r>
  </si>
  <si>
    <r>
      <t xml:space="preserve">Vacation Pay </t>
    </r>
    <r>
      <rPr>
        <sz val="16"/>
        <rFont val="微软雅黑"/>
        <family val="2"/>
        <charset val="134"/>
      </rPr>
      <t>假期工资</t>
    </r>
  </si>
  <si>
    <r>
      <t xml:space="preserve">Incentive </t>
    </r>
    <r>
      <rPr>
        <sz val="16"/>
        <rFont val="微软雅黑"/>
        <family val="2"/>
        <charset val="134"/>
      </rPr>
      <t>奖金</t>
    </r>
  </si>
  <si>
    <r>
      <t xml:space="preserve">Total Salary &amp; Wages </t>
    </r>
    <r>
      <rPr>
        <b/>
        <sz val="16"/>
        <rFont val="宋体"/>
        <family val="3"/>
        <charset val="134"/>
      </rPr>
      <t>工资合计</t>
    </r>
  </si>
  <si>
    <r>
      <t xml:space="preserve">PRC - Retirement Insurance </t>
    </r>
    <r>
      <rPr>
        <sz val="16"/>
        <rFont val="微软雅黑"/>
        <family val="2"/>
        <charset val="134"/>
      </rPr>
      <t>养老保险</t>
    </r>
  </si>
  <si>
    <r>
      <t xml:space="preserve">PRC - Basic Medical Insurance </t>
    </r>
    <r>
      <rPr>
        <sz val="16"/>
        <rFont val="微软雅黑"/>
        <family val="2"/>
        <charset val="134"/>
      </rPr>
      <t>医疗保险</t>
    </r>
  </si>
  <si>
    <r>
      <t xml:space="preserve">PRC - Unemployement fund </t>
    </r>
    <r>
      <rPr>
        <sz val="16"/>
        <rFont val="微软雅黑"/>
        <family val="2"/>
        <charset val="134"/>
      </rPr>
      <t>失业保险</t>
    </r>
  </si>
  <si>
    <r>
      <t xml:space="preserve">PRC - Employee Liability (Injury) </t>
    </r>
    <r>
      <rPr>
        <sz val="16"/>
        <rFont val="微软雅黑"/>
        <family val="2"/>
        <charset val="134"/>
      </rPr>
      <t>工伤保险</t>
    </r>
  </si>
  <si>
    <r>
      <t xml:space="preserve">PRC - Birth Insurance </t>
    </r>
    <r>
      <rPr>
        <sz val="16"/>
        <rFont val="微软雅黑"/>
        <family val="2"/>
        <charset val="134"/>
      </rPr>
      <t>生育保险</t>
    </r>
  </si>
  <si>
    <r>
      <t xml:space="preserve">PRC - Housing Fund </t>
    </r>
    <r>
      <rPr>
        <sz val="16"/>
        <rFont val="微软雅黑"/>
        <family val="2"/>
        <charset val="134"/>
      </rPr>
      <t>住房公积金</t>
    </r>
  </si>
  <si>
    <r>
      <t xml:space="preserve">PRC - Union Fee </t>
    </r>
    <r>
      <rPr>
        <sz val="16"/>
        <rFont val="微软雅黑"/>
        <family val="2"/>
        <charset val="134"/>
      </rPr>
      <t>工会经费</t>
    </r>
  </si>
  <si>
    <r>
      <t xml:space="preserve">PRC - Education Fund </t>
    </r>
    <r>
      <rPr>
        <sz val="16"/>
        <rFont val="微软雅黑"/>
        <family val="2"/>
        <charset val="134"/>
      </rPr>
      <t>教育经费</t>
    </r>
  </si>
  <si>
    <r>
      <t xml:space="preserve">Total Social Security  </t>
    </r>
    <r>
      <rPr>
        <b/>
        <sz val="16"/>
        <rFont val="宋体"/>
        <family val="3"/>
        <charset val="134"/>
      </rPr>
      <t>社保合计</t>
    </r>
    <r>
      <rPr>
        <b/>
        <sz val="16"/>
        <rFont val="Arial"/>
        <family val="2"/>
      </rPr>
      <t xml:space="preserve"> </t>
    </r>
  </si>
  <si>
    <r>
      <t xml:space="preserve">Expats - Insurance </t>
    </r>
    <r>
      <rPr>
        <sz val="16"/>
        <rFont val="微软雅黑"/>
        <family val="2"/>
        <charset val="134"/>
      </rPr>
      <t>外籍保险</t>
    </r>
  </si>
  <si>
    <r>
      <t xml:space="preserve">Expats - Medical Insurance </t>
    </r>
    <r>
      <rPr>
        <sz val="16"/>
        <rFont val="微软雅黑"/>
        <family val="2"/>
        <charset val="134"/>
      </rPr>
      <t>外籍医疗保险</t>
    </r>
  </si>
  <si>
    <r>
      <t xml:space="preserve">Expats - Benefits </t>
    </r>
    <r>
      <rPr>
        <sz val="16"/>
        <rFont val="微软雅黑"/>
        <family val="2"/>
        <charset val="134"/>
      </rPr>
      <t>外籍福利</t>
    </r>
  </si>
  <si>
    <r>
      <t xml:space="preserve">Local - Business Insurance </t>
    </r>
    <r>
      <rPr>
        <sz val="16"/>
        <rFont val="微软雅黑"/>
        <family val="2"/>
        <charset val="134"/>
      </rPr>
      <t>本地员工商业保险</t>
    </r>
  </si>
  <si>
    <r>
      <t xml:space="preserve">Other Benefits </t>
    </r>
    <r>
      <rPr>
        <sz val="16"/>
        <rFont val="微软雅黑"/>
        <family val="2"/>
        <charset val="134"/>
      </rPr>
      <t>其他福利</t>
    </r>
  </si>
  <si>
    <r>
      <t xml:space="preserve">Staff Dormitory &amp; Related Expenses </t>
    </r>
    <r>
      <rPr>
        <sz val="16"/>
        <rFont val="微软雅黑"/>
        <family val="2"/>
        <charset val="134"/>
      </rPr>
      <t>员工宿舍及相关费用</t>
    </r>
  </si>
  <si>
    <r>
      <t xml:space="preserve">Staff Cateen Allocation &amp; OC </t>
    </r>
    <r>
      <rPr>
        <sz val="16"/>
        <rFont val="微软雅黑"/>
        <family val="2"/>
        <charset val="134"/>
      </rPr>
      <t>员工餐费</t>
    </r>
  </si>
  <si>
    <r>
      <t xml:space="preserve">Total Benefits </t>
    </r>
    <r>
      <rPr>
        <b/>
        <sz val="16"/>
        <rFont val="宋体"/>
        <family val="3"/>
        <charset val="134"/>
      </rPr>
      <t>福利合计</t>
    </r>
  </si>
  <si>
    <r>
      <t xml:space="preserve">TOTAL LABOUR COST </t>
    </r>
    <r>
      <rPr>
        <b/>
        <sz val="16"/>
        <rFont val="宋体"/>
        <family val="3"/>
        <charset val="134"/>
      </rPr>
      <t>人工成本合计</t>
    </r>
  </si>
  <si>
    <r>
      <t xml:space="preserve">FTEs </t>
    </r>
    <r>
      <rPr>
        <b/>
        <sz val="16"/>
        <rFont val="宋体"/>
        <family val="3"/>
        <charset val="134"/>
      </rPr>
      <t>员工人数</t>
    </r>
  </si>
  <si>
    <t>合计</t>
    <phoneticPr fontId="56" type="noConversion"/>
  </si>
  <si>
    <t>差异值</t>
    <phoneticPr fontId="56" type="noConversion"/>
  </si>
  <si>
    <t xml:space="preserve"> </t>
  </si>
  <si>
    <r>
      <t xml:space="preserve">Promotions </t>
    </r>
    <r>
      <rPr>
        <sz val="16"/>
        <rFont val="微软雅黑"/>
        <family val="2"/>
        <charset val="134"/>
      </rPr>
      <t>促销</t>
    </r>
  </si>
  <si>
    <r>
      <t xml:space="preserve">Fam Trip </t>
    </r>
    <r>
      <rPr>
        <sz val="16"/>
        <rFont val="微软雅黑"/>
        <family val="2"/>
        <charset val="134"/>
      </rPr>
      <t>熟客旅行计划</t>
    </r>
  </si>
  <si>
    <t>DMH-DYTZH</t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</si>
  <si>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</si>
  <si>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</si>
  <si>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</si>
  <si>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</si>
  <si>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</si>
  <si>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</si>
  <si>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</si>
  <si>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</si>
  <si>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</si>
  <si>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</si>
  <si>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r>
      <t xml:space="preserve">Photography </t>
    </r>
    <r>
      <rPr>
        <sz val="16"/>
        <rFont val="微软雅黑"/>
        <family val="2"/>
        <charset val="134"/>
      </rPr>
      <t>摄影费</t>
    </r>
  </si>
  <si>
    <r>
      <t>Salary &amp; Wage - Others</t>
    </r>
    <r>
      <rPr>
        <sz val="16"/>
        <rFont val="宋体"/>
        <family val="3"/>
        <charset val="134"/>
      </rPr>
      <t>工资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</si>
  <si>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t>DYTZH</t>
    <phoneticPr fontId="56" type="noConversion"/>
  </si>
  <si>
    <t>ADD芳菲苑餐厅损益</t>
    <phoneticPr fontId="56" type="noConversion"/>
  </si>
  <si>
    <t>MP Cafe 品聚咖啡损益</t>
    <phoneticPr fontId="56" type="noConversion"/>
  </si>
  <si>
    <t>MP Dining 品聚餐厅损益</t>
    <phoneticPr fontId="56" type="noConversion"/>
  </si>
  <si>
    <r>
      <t xml:space="preserve">DYT Galleria   </t>
    </r>
    <r>
      <rPr>
        <b/>
        <sz val="18"/>
        <rFont val="宋体"/>
        <family val="3"/>
        <charset val="134"/>
      </rPr>
      <t>钓鱼台生活馆</t>
    </r>
    <phoneticPr fontId="56" type="noConversion"/>
  </si>
  <si>
    <t>修改内容如下：</t>
    <phoneticPr fontId="56" type="noConversion"/>
  </si>
  <si>
    <r>
      <t>1.</t>
    </r>
    <r>
      <rPr>
        <sz val="11"/>
        <color theme="1"/>
        <rFont val="宋体"/>
        <family val="3"/>
        <charset val="134"/>
      </rPr>
      <t>更改首页</t>
    </r>
    <r>
      <rPr>
        <sz val="11"/>
        <color theme="1"/>
        <rFont val="Calibri"/>
        <family val="2"/>
      </rPr>
      <t>Period</t>
    </r>
    <phoneticPr fontId="56" type="noConversion"/>
  </si>
  <si>
    <t>修改前</t>
    <phoneticPr fontId="56" type="noConversion"/>
  </si>
  <si>
    <t>修改后</t>
    <phoneticPr fontId="56" type="noConversion"/>
  </si>
  <si>
    <r>
      <t>2</t>
    </r>
    <r>
      <rPr>
        <sz val="11"/>
        <color theme="1"/>
        <rFont val="宋体"/>
        <family val="3"/>
        <charset val="134"/>
      </rPr>
      <t>修改每一个页面的</t>
    </r>
    <r>
      <rPr>
        <sz val="11"/>
        <color theme="1"/>
        <rFont val="Calibri"/>
        <family val="2"/>
      </rPr>
      <t>D7</t>
    </r>
    <phoneticPr fontId="56" type="noConversion"/>
  </si>
  <si>
    <t>芳菲苑</t>
    <phoneticPr fontId="56" type="noConversion"/>
  </si>
  <si>
    <t>御苑</t>
    <phoneticPr fontId="56" type="noConversion"/>
  </si>
  <si>
    <t>品聚</t>
    <phoneticPr fontId="56" type="noConversion"/>
  </si>
  <si>
    <t>送餐</t>
    <phoneticPr fontId="56" type="noConversion"/>
  </si>
  <si>
    <r>
      <rPr>
        <sz val="14"/>
        <rFont val="微软雅黑"/>
        <family val="2"/>
        <charset val="134"/>
      </rPr>
      <t>分摊费用</t>
    </r>
    <r>
      <rPr>
        <sz val="14"/>
        <rFont val="宋体"/>
        <family val="2"/>
        <charset val="134"/>
      </rPr>
      <t>（</t>
    </r>
    <r>
      <rPr>
        <sz val="14"/>
        <rFont val="Arial"/>
        <family val="2"/>
      </rPr>
      <t>STW+Admin)</t>
    </r>
    <phoneticPr fontId="56" type="noConversion"/>
  </si>
  <si>
    <t>BANQUET</t>
    <phoneticPr fontId="56" type="noConversion"/>
  </si>
  <si>
    <t>芳菲苑</t>
    <phoneticPr fontId="56" type="noConversion"/>
  </si>
  <si>
    <t>带公式</t>
    <phoneticPr fontId="56" type="noConversion"/>
  </si>
  <si>
    <t>费用未定，带公式</t>
    <phoneticPr fontId="56" type="noConversion"/>
  </si>
  <si>
    <t>-</t>
  </si>
  <si>
    <t>燃油</t>
    <phoneticPr fontId="56" type="noConversion"/>
  </si>
  <si>
    <r>
      <t xml:space="preserve">Rooms Summary </t>
    </r>
    <r>
      <rPr>
        <b/>
        <sz val="18"/>
        <rFont val="宋体"/>
        <family val="2"/>
        <charset val="134"/>
      </rPr>
      <t>房务办公室</t>
    </r>
    <r>
      <rPr>
        <b/>
        <sz val="18"/>
        <rFont val="微软雅黑"/>
        <family val="2"/>
        <charset val="134"/>
      </rPr>
      <t>损益</t>
    </r>
    <phoneticPr fontId="56" type="noConversion"/>
  </si>
  <si>
    <r>
      <t xml:space="preserve">Health Culb </t>
    </r>
    <r>
      <rPr>
        <b/>
        <sz val="18"/>
        <rFont val="宋体"/>
        <family val="2"/>
        <charset val="134"/>
      </rPr>
      <t>康乐</t>
    </r>
    <r>
      <rPr>
        <b/>
        <sz val="18"/>
        <rFont val="Microsoft JhengHei"/>
        <family val="2"/>
        <charset val="136"/>
      </rPr>
      <t>部</t>
    </r>
    <phoneticPr fontId="56" type="noConversion"/>
  </si>
  <si>
    <r>
      <rPr>
        <sz val="16"/>
        <rFont val="宋体"/>
        <family val="3"/>
        <charset val="134"/>
      </rPr>
      <t>春节、元宵节、</t>
    </r>
    <r>
      <rPr>
        <sz val="16"/>
        <rFont val="Arial"/>
        <family val="2"/>
      </rPr>
      <t>38</t>
    </r>
    <r>
      <rPr>
        <sz val="16"/>
        <rFont val="宋体"/>
        <family val="3"/>
        <charset val="134"/>
      </rPr>
      <t>女神节、端午节、中秋节</t>
    </r>
    <phoneticPr fontId="56" type="noConversion"/>
  </si>
  <si>
    <t>节假日院校老师招待</t>
  </si>
  <si>
    <t>员工宿舍用品及消杀</t>
  </si>
  <si>
    <t>高管招聘交通费</t>
  </si>
  <si>
    <t>校园招聘</t>
  </si>
  <si>
    <t>员工敬业度调查250人，每人100</t>
    <phoneticPr fontId="56" type="noConversion"/>
  </si>
  <si>
    <t>集团财务年度审计</t>
    <phoneticPr fontId="56" type="noConversion"/>
  </si>
  <si>
    <r>
      <t xml:space="preserve">Telephone </t>
    </r>
    <r>
      <rPr>
        <sz val="16"/>
        <color rgb="FFFF0000"/>
        <rFont val="微软雅黑"/>
        <family val="2"/>
        <charset val="134"/>
      </rPr>
      <t>电话费</t>
    </r>
  </si>
  <si>
    <r>
      <t xml:space="preserve">Commission </t>
    </r>
    <r>
      <rPr>
        <sz val="16"/>
        <color rgb="FFFF0000"/>
        <rFont val="微软雅黑"/>
        <family val="2"/>
        <charset val="134"/>
      </rPr>
      <t>佣金</t>
    </r>
    <r>
      <rPr>
        <sz val="16"/>
        <color rgb="FFFF0000"/>
        <rFont val="Arial"/>
        <family val="2"/>
      </rPr>
      <t xml:space="preserve"> - Credit Cards </t>
    </r>
    <r>
      <rPr>
        <sz val="16"/>
        <color rgb="FFFF0000"/>
        <rFont val="微软雅黑"/>
        <family val="2"/>
        <charset val="134"/>
      </rPr>
      <t>信用卡</t>
    </r>
  </si>
  <si>
    <r>
      <t>30000</t>
    </r>
    <r>
      <rPr>
        <sz val="16"/>
        <rFont val="宋体"/>
        <family val="3"/>
        <charset val="134"/>
      </rPr>
      <t>每年</t>
    </r>
    <phoneticPr fontId="56" type="noConversion"/>
  </si>
  <si>
    <r>
      <t xml:space="preserve">Equipment Rental </t>
    </r>
    <r>
      <rPr>
        <sz val="16"/>
        <color rgb="FFFF0000"/>
        <rFont val="微软雅黑"/>
        <family val="2"/>
        <charset val="134"/>
      </rPr>
      <t>设备租金</t>
    </r>
  </si>
  <si>
    <t>财务部</t>
    <phoneticPr fontId="56" type="noConversion"/>
  </si>
  <si>
    <t>人事部</t>
    <phoneticPr fontId="56" type="noConversion"/>
  </si>
  <si>
    <t>餐饮部</t>
    <phoneticPr fontId="56" type="noConversion"/>
  </si>
  <si>
    <t>前厅部</t>
    <phoneticPr fontId="56" type="noConversion"/>
  </si>
  <si>
    <t>客房部</t>
    <phoneticPr fontId="56" type="noConversion"/>
  </si>
  <si>
    <t>销售部</t>
    <phoneticPr fontId="56" type="noConversion"/>
  </si>
  <si>
    <t>工程部</t>
    <phoneticPr fontId="56" type="noConversion"/>
  </si>
  <si>
    <t>total</t>
    <phoneticPr fontId="56" type="noConversion"/>
  </si>
  <si>
    <t>合同金额</t>
    <phoneticPr fontId="56" type="noConversion"/>
  </si>
  <si>
    <t>打印机租赁（2025.11.06 - 2026.11.05）</t>
    <phoneticPr fontId="56" type="noConversion"/>
  </si>
  <si>
    <t>工作手机（2025.08.01 - 2026.07.31）</t>
    <phoneticPr fontId="56" type="noConversion"/>
  </si>
  <si>
    <t>安全部</t>
    <phoneticPr fontId="56" type="noConversion"/>
  </si>
  <si>
    <t>康乐部</t>
    <phoneticPr fontId="56" type="noConversion"/>
  </si>
  <si>
    <t>厨房部</t>
    <phoneticPr fontId="56" type="noConversion"/>
  </si>
  <si>
    <r>
      <t xml:space="preserve">Staff Dormitory &amp; Related Expenses </t>
    </r>
    <r>
      <rPr>
        <sz val="16"/>
        <rFont val="微软雅黑"/>
        <family val="2"/>
        <charset val="134"/>
      </rPr>
      <t>员工宿舍及相关费用</t>
    </r>
    <phoneticPr fontId="56" type="noConversion"/>
  </si>
  <si>
    <t>check</t>
    <phoneticPr fontId="56" type="noConversion"/>
  </si>
  <si>
    <r>
      <t xml:space="preserve">Total Revenue </t>
    </r>
    <r>
      <rPr>
        <sz val="16"/>
        <rFont val="宋体"/>
        <family val="3"/>
        <charset val="134"/>
      </rPr>
      <t>总收入</t>
    </r>
  </si>
  <si>
    <t>管理合同</t>
    <phoneticPr fontId="56" type="noConversion"/>
  </si>
  <si>
    <t>保底</t>
    <phoneticPr fontId="56" type="noConversion"/>
  </si>
  <si>
    <t>基本管理费</t>
    <phoneticPr fontId="56" type="noConversion"/>
  </si>
  <si>
    <t>收入</t>
    <phoneticPr fontId="56" type="noConversion"/>
  </si>
  <si>
    <t>品牌费</t>
    <phoneticPr fontId="56" type="noConversion"/>
  </si>
  <si>
    <t>收入</t>
    <phoneticPr fontId="56" type="noConversion"/>
  </si>
  <si>
    <t>奖励管理费</t>
    <phoneticPr fontId="56" type="noConversion"/>
  </si>
  <si>
    <t>利润</t>
    <phoneticPr fontId="56" type="noConversion"/>
  </si>
  <si>
    <t>固定资产储备金</t>
    <phoneticPr fontId="56" type="noConversion"/>
  </si>
  <si>
    <t>收入</t>
    <phoneticPr fontId="56" type="noConversion"/>
  </si>
  <si>
    <r>
      <t xml:space="preserve">Uniforms </t>
    </r>
    <r>
      <rPr>
        <sz val="16"/>
        <color rgb="FFFF0000"/>
        <rFont val="微软雅黑"/>
        <family val="2"/>
        <charset val="134"/>
      </rPr>
      <t>制服</t>
    </r>
  </si>
  <si>
    <r>
      <rPr>
        <sz val="14"/>
        <rFont val="微软雅黑"/>
        <family val="2"/>
        <charset val="134"/>
      </rPr>
      <t>分摊比例</t>
    </r>
    <r>
      <rPr>
        <sz val="14"/>
        <rFont val="宋体"/>
        <family val="2"/>
        <charset val="134"/>
      </rPr>
      <t>（</t>
    </r>
    <r>
      <rPr>
        <sz val="14"/>
        <rFont val="Arial"/>
        <family val="2"/>
      </rPr>
      <t>STW+Admin)</t>
    </r>
    <phoneticPr fontId="56" type="noConversion"/>
  </si>
  <si>
    <r>
      <rPr>
        <sz val="16"/>
        <rFont val="Arial"/>
        <family val="2"/>
      </rPr>
      <t xml:space="preserve">Staff Cateen Allocation &amp; OC </t>
    </r>
    <r>
      <rPr>
        <sz val="16"/>
        <rFont val="微软雅黑"/>
        <family val="2"/>
        <charset val="134"/>
      </rPr>
      <t>员工餐费</t>
    </r>
    <phoneticPr fontId="56" type="noConversion"/>
  </si>
  <si>
    <t>Salary &amp; Wage - Others工资-其他-外包</t>
    <phoneticPr fontId="56" type="noConversion"/>
  </si>
  <si>
    <r>
      <t>Salary &amp; Wage - Others</t>
    </r>
    <r>
      <rPr>
        <sz val="16"/>
        <rFont val="MS Gothic"/>
        <family val="3"/>
        <charset val="128"/>
      </rPr>
      <t>工</t>
    </r>
    <r>
      <rPr>
        <sz val="16"/>
        <rFont val="Microsoft JhengHei"/>
        <family val="2"/>
        <charset val="136"/>
      </rPr>
      <t>资</t>
    </r>
    <r>
      <rPr>
        <sz val="16"/>
        <rFont val="Arial"/>
        <family val="2"/>
      </rPr>
      <t>-</t>
    </r>
    <r>
      <rPr>
        <sz val="16"/>
        <rFont val="MS Gothic"/>
        <family val="3"/>
        <charset val="128"/>
      </rPr>
      <t>其他</t>
    </r>
    <r>
      <rPr>
        <sz val="16"/>
        <rFont val="Arial"/>
        <family val="2"/>
      </rPr>
      <t>-</t>
    </r>
    <r>
      <rPr>
        <sz val="16"/>
        <rFont val="等线"/>
        <family val="2"/>
        <charset val="134"/>
      </rPr>
      <t>小时工</t>
    </r>
    <phoneticPr fontId="56" type="noConversion"/>
  </si>
  <si>
    <r>
      <rPr>
        <sz val="16"/>
        <rFont val="宋体"/>
        <family val="3"/>
        <charset val="134"/>
      </rPr>
      <t>人均</t>
    </r>
    <r>
      <rPr>
        <sz val="16"/>
        <rFont val="Arial"/>
        <family val="2"/>
      </rPr>
      <t>12</t>
    </r>
    <r>
      <rPr>
        <sz val="16"/>
        <rFont val="宋体"/>
        <family val="3"/>
        <charset val="134"/>
      </rPr>
      <t>元，每月两双袜子</t>
    </r>
    <phoneticPr fontId="56" type="noConversion"/>
  </si>
  <si>
    <r>
      <rPr>
        <sz val="11"/>
        <rFont val="宋体"/>
        <family val="3"/>
        <charset val="134"/>
      </rPr>
      <t>财务领导人年度会议</t>
    </r>
    <r>
      <rPr>
        <sz val="11"/>
        <rFont val="Calibri"/>
        <family val="2"/>
      </rPr>
      <t>&amp;</t>
    </r>
    <r>
      <rPr>
        <sz val="11"/>
        <rFont val="宋体"/>
        <family val="3"/>
        <charset val="134"/>
      </rPr>
      <t>采购经理研讨会</t>
    </r>
    <phoneticPr fontId="56" type="noConversion"/>
  </si>
  <si>
    <r>
      <t xml:space="preserve">Travelling Expenses </t>
    </r>
    <r>
      <rPr>
        <sz val="16"/>
        <rFont val="微软雅黑"/>
        <family val="2"/>
        <charset val="134"/>
      </rPr>
      <t>差旅费</t>
    </r>
    <r>
      <rPr>
        <sz val="16"/>
        <rFont val="Arial"/>
        <family val="2"/>
      </rPr>
      <t xml:space="preserve"> </t>
    </r>
  </si>
  <si>
    <r>
      <t xml:space="preserve">External Audit Fee </t>
    </r>
    <r>
      <rPr>
        <sz val="16"/>
        <rFont val="微软雅黑"/>
        <family val="2"/>
        <charset val="134"/>
      </rPr>
      <t>外部审计费用</t>
    </r>
  </si>
  <si>
    <r>
      <t xml:space="preserve">Bank Charges </t>
    </r>
    <r>
      <rPr>
        <sz val="16"/>
        <rFont val="微软雅黑"/>
        <family val="2"/>
        <charset val="134"/>
      </rPr>
      <t>银行费用</t>
    </r>
  </si>
  <si>
    <t>健康证300人/90=27000及高管体检8人/2000=16000</t>
    <phoneticPr fontId="56" type="noConversion"/>
  </si>
  <si>
    <r>
      <t xml:space="preserve">Training Expenses </t>
    </r>
    <r>
      <rPr>
        <sz val="16"/>
        <rFont val="微软雅黑"/>
        <family val="2"/>
        <charset val="134"/>
      </rPr>
      <t>培训费用</t>
    </r>
  </si>
  <si>
    <t>员工总人数</t>
    <phoneticPr fontId="56" type="noConversion"/>
  </si>
  <si>
    <r>
      <t>Salary &amp; Wage - Others</t>
    </r>
    <r>
      <rPr>
        <sz val="16"/>
        <rFont val="MS Gothic"/>
        <family val="3"/>
        <charset val="128"/>
      </rPr>
      <t>工</t>
    </r>
    <r>
      <rPr>
        <sz val="16"/>
        <rFont val="Microsoft JhengHei"/>
        <family val="2"/>
        <charset val="136"/>
      </rPr>
      <t>资</t>
    </r>
    <r>
      <rPr>
        <sz val="16"/>
        <rFont val="Arial"/>
        <family val="2"/>
      </rPr>
      <t>-</t>
    </r>
    <r>
      <rPr>
        <sz val="16"/>
        <rFont val="MS Gothic"/>
        <family val="3"/>
        <charset val="128"/>
      </rPr>
      <t>其他</t>
    </r>
    <r>
      <rPr>
        <sz val="16"/>
        <rFont val="Arial"/>
        <family val="2"/>
      </rPr>
      <t>-</t>
    </r>
    <r>
      <rPr>
        <sz val="16"/>
        <rFont val="宋体"/>
        <family val="3"/>
        <charset val="134"/>
      </rPr>
      <t>小时工</t>
    </r>
    <phoneticPr fontId="56" type="noConversion"/>
  </si>
  <si>
    <t>FA</t>
    <phoneticPr fontId="56" type="noConversion"/>
  </si>
  <si>
    <t>FL</t>
    <phoneticPr fontId="56" type="noConversion"/>
  </si>
  <si>
    <t>RC</t>
    <phoneticPr fontId="56" type="noConversion"/>
  </si>
  <si>
    <t>PJ</t>
    <phoneticPr fontId="56" type="noConversion"/>
  </si>
  <si>
    <t>B</t>
    <phoneticPr fontId="56" type="noConversion"/>
  </si>
  <si>
    <t>RS</t>
    <phoneticPr fontId="56" type="noConversion"/>
  </si>
  <si>
    <t>ST</t>
    <phoneticPr fontId="56" type="noConversion"/>
  </si>
  <si>
    <t>复印机租赁</t>
    <phoneticPr fontId="56" type="noConversion"/>
  </si>
  <si>
    <r>
      <rPr>
        <sz val="16"/>
        <rFont val="宋体"/>
        <family val="3"/>
        <charset val="134"/>
      </rPr>
      <t>工作手机</t>
    </r>
    <r>
      <rPr>
        <sz val="16"/>
        <rFont val="Arial"/>
        <family val="2"/>
      </rPr>
      <t>IT</t>
    </r>
    <phoneticPr fontId="56" type="noConversion"/>
  </si>
  <si>
    <t>复印机租赁</t>
    <phoneticPr fontId="56" type="noConversion"/>
  </si>
  <si>
    <r>
      <t xml:space="preserve">Equipment Rental </t>
    </r>
    <r>
      <rPr>
        <sz val="16"/>
        <rFont val="微软雅黑"/>
        <family val="2"/>
        <charset val="134"/>
      </rPr>
      <t>设备租金</t>
    </r>
  </si>
  <si>
    <r>
      <t xml:space="preserve">Printing &amp; Stationery </t>
    </r>
    <r>
      <rPr>
        <sz val="16"/>
        <color rgb="FFFF0000"/>
        <rFont val="微软雅黑"/>
        <family val="2"/>
        <charset val="134"/>
      </rPr>
      <t>印刷与文具</t>
    </r>
  </si>
  <si>
    <r>
      <t xml:space="preserve">Outsourcing Contract </t>
    </r>
    <r>
      <rPr>
        <b/>
        <sz val="16"/>
        <rFont val="宋体"/>
        <family val="3"/>
        <charset val="134"/>
      </rPr>
      <t>合同外包成本</t>
    </r>
    <phoneticPr fontId="56" type="noConversion"/>
  </si>
  <si>
    <t>合同外包人数</t>
    <phoneticPr fontId="56" type="noConversion"/>
  </si>
  <si>
    <t>复印机租赁</t>
    <phoneticPr fontId="56" type="noConversion"/>
  </si>
  <si>
    <t>正式员工人数</t>
    <phoneticPr fontId="56" type="noConversion"/>
  </si>
  <si>
    <r>
      <t xml:space="preserve">Printing &amp; Stationery </t>
    </r>
    <r>
      <rPr>
        <sz val="16"/>
        <rFont val="微软雅黑"/>
        <family val="2"/>
        <charset val="134"/>
      </rPr>
      <t>印刷与文具</t>
    </r>
  </si>
  <si>
    <r>
      <t xml:space="preserve">Internal Laundry </t>
    </r>
    <r>
      <rPr>
        <sz val="16"/>
        <rFont val="微软雅黑"/>
        <family val="2"/>
        <charset val="134"/>
      </rPr>
      <t>内部洗衣</t>
    </r>
  </si>
  <si>
    <r>
      <t xml:space="preserve">Taskforce Expenses </t>
    </r>
    <r>
      <rPr>
        <sz val="16"/>
        <rFont val="微软雅黑"/>
        <family val="2"/>
        <charset val="134"/>
      </rPr>
      <t>外援费用</t>
    </r>
  </si>
  <si>
    <r>
      <t xml:space="preserve">Telephone </t>
    </r>
    <r>
      <rPr>
        <sz val="16"/>
        <rFont val="微软雅黑"/>
        <family val="2"/>
        <charset val="134"/>
      </rPr>
      <t>电话费</t>
    </r>
  </si>
  <si>
    <r>
      <rPr>
        <sz val="16"/>
        <rFont val="宋体"/>
        <family val="3"/>
        <charset val="134"/>
      </rPr>
      <t>复印纸张</t>
    </r>
    <r>
      <rPr>
        <sz val="16"/>
        <rFont val="Arial"/>
        <family val="2"/>
      </rPr>
      <t>20</t>
    </r>
    <r>
      <rPr>
        <sz val="16"/>
        <rFont val="宋体"/>
        <family val="3"/>
        <charset val="134"/>
      </rPr>
      <t>包</t>
    </r>
    <r>
      <rPr>
        <sz val="16"/>
        <rFont val="Arial"/>
        <family val="2"/>
      </rPr>
      <t>*10+</t>
    </r>
    <r>
      <rPr>
        <sz val="16"/>
        <rFont val="宋体"/>
        <family val="3"/>
        <charset val="134"/>
      </rPr>
      <t>文具</t>
    </r>
    <r>
      <rPr>
        <sz val="16"/>
        <rFont val="Arial"/>
        <family val="2"/>
      </rPr>
      <t>100+</t>
    </r>
    <r>
      <rPr>
        <sz val="16"/>
        <rFont val="宋体"/>
        <family val="3"/>
        <charset val="134"/>
      </rPr>
      <t>复印机</t>
    </r>
    <r>
      <rPr>
        <sz val="16"/>
        <rFont val="Arial"/>
        <family val="2"/>
      </rPr>
      <t>580</t>
    </r>
    <phoneticPr fontId="56" type="noConversion"/>
  </si>
  <si>
    <r>
      <t xml:space="preserve">Telephone </t>
    </r>
    <r>
      <rPr>
        <sz val="16"/>
        <rFont val="宋体"/>
        <family val="3"/>
        <charset val="134"/>
      </rPr>
      <t>电话费</t>
    </r>
  </si>
  <si>
    <t>Salary &amp; Wage - Others工资-其他-外包</t>
    <phoneticPr fontId="56" type="noConversion"/>
  </si>
  <si>
    <t>全年</t>
    <phoneticPr fontId="56" type="noConversion"/>
  </si>
  <si>
    <t>其中水景</t>
    <phoneticPr fontId="56" type="noConversion"/>
  </si>
  <si>
    <t>除去水景</t>
    <phoneticPr fontId="56" type="noConversion"/>
  </si>
  <si>
    <t>全年平均每日</t>
    <phoneticPr fontId="56" type="noConversion"/>
  </si>
  <si>
    <r>
      <t xml:space="preserve">Fuel </t>
    </r>
    <r>
      <rPr>
        <sz val="16"/>
        <rFont val="微软雅黑"/>
        <family val="2"/>
        <charset val="134"/>
      </rPr>
      <t xml:space="preserve">燃料燃油 </t>
    </r>
    <r>
      <rPr>
        <sz val="16"/>
        <rFont val="Arial"/>
        <family val="2"/>
      </rPr>
      <t>(</t>
    </r>
    <r>
      <rPr>
        <sz val="16"/>
        <rFont val="宋体"/>
        <family val="2"/>
        <charset val="134"/>
      </rPr>
      <t>升</t>
    </r>
    <r>
      <rPr>
        <sz val="16"/>
        <rFont val="Arial"/>
        <family val="2"/>
      </rPr>
      <t>)</t>
    </r>
    <phoneticPr fontId="56" type="noConversion"/>
  </si>
  <si>
    <t xml:space="preserve">横琴悦榕庄 </t>
    <phoneticPr fontId="56" type="noConversion"/>
  </si>
  <si>
    <r>
      <rPr>
        <sz val="16"/>
        <rFont val="宋体"/>
        <family val="2"/>
        <charset val="134"/>
      </rPr>
      <t>每月约50</t>
    </r>
    <r>
      <rPr>
        <sz val="16"/>
        <rFont val="Arial"/>
        <family val="2"/>
      </rPr>
      <t>W</t>
    </r>
    <phoneticPr fontId="56" type="noConversion"/>
  </si>
  <si>
    <r>
      <rPr>
        <b/>
        <sz val="16"/>
        <rFont val="MS Gothic"/>
        <family val="3"/>
        <charset val="128"/>
      </rPr>
      <t>全年</t>
    </r>
    <r>
      <rPr>
        <b/>
        <sz val="16"/>
        <rFont val="Arial"/>
        <family val="2"/>
      </rPr>
      <t>600W</t>
    </r>
    <phoneticPr fontId="56" type="noConversion"/>
  </si>
  <si>
    <t>能源占比15%</t>
    <phoneticPr fontId="56" type="noConversion"/>
  </si>
  <si>
    <t>单价</t>
    <phoneticPr fontId="56" type="noConversion"/>
  </si>
  <si>
    <t>维修和合同</t>
    <phoneticPr fontId="56" type="noConversion"/>
  </si>
  <si>
    <t>去年总费用</t>
    <phoneticPr fontId="56" type="noConversion"/>
  </si>
  <si>
    <r>
      <rPr>
        <sz val="16"/>
        <rFont val="宋体"/>
        <family val="3"/>
        <charset val="134"/>
      </rPr>
      <t>日平均</t>
    </r>
    <r>
      <rPr>
        <sz val="16"/>
        <rFont val="Arial"/>
        <family val="2"/>
      </rPr>
      <t>/</t>
    </r>
    <r>
      <rPr>
        <sz val="16"/>
        <rFont val="宋体"/>
        <family val="3"/>
        <charset val="134"/>
      </rPr>
      <t>费用</t>
    </r>
    <phoneticPr fontId="56" type="noConversion"/>
  </si>
  <si>
    <r>
      <rPr>
        <sz val="16"/>
        <rFont val="宋体"/>
        <family val="3"/>
        <charset val="134"/>
      </rPr>
      <t>日平均</t>
    </r>
    <r>
      <rPr>
        <sz val="16"/>
        <rFont val="Arial"/>
        <family val="2"/>
      </rPr>
      <t>/</t>
    </r>
    <r>
      <rPr>
        <sz val="16"/>
        <rFont val="宋体"/>
        <family val="3"/>
        <charset val="134"/>
      </rPr>
      <t>用量</t>
    </r>
    <phoneticPr fontId="56" type="noConversion"/>
  </si>
  <si>
    <r>
      <t xml:space="preserve">Electricity </t>
    </r>
    <r>
      <rPr>
        <sz val="16"/>
        <rFont val="微软雅黑"/>
        <family val="2"/>
        <charset val="134"/>
      </rPr>
      <t>电</t>
    </r>
    <phoneticPr fontId="56" type="noConversion"/>
  </si>
  <si>
    <r>
      <t xml:space="preserve">Water </t>
    </r>
    <r>
      <rPr>
        <sz val="16"/>
        <rFont val="微软雅黑"/>
        <family val="2"/>
        <charset val="134"/>
      </rPr>
      <t>水</t>
    </r>
    <r>
      <rPr>
        <sz val="16"/>
        <rFont val="Arial"/>
        <family val="2"/>
      </rPr>
      <t xml:space="preserve">/ Sewer </t>
    </r>
    <r>
      <rPr>
        <sz val="16"/>
        <rFont val="微软雅黑"/>
        <family val="2"/>
        <charset val="134"/>
      </rPr>
      <t>排水</t>
    </r>
    <phoneticPr fontId="56" type="noConversion"/>
  </si>
  <si>
    <r>
      <t xml:space="preserve">Fuel </t>
    </r>
    <r>
      <rPr>
        <sz val="16"/>
        <rFont val="微软雅黑"/>
        <family val="2"/>
        <charset val="134"/>
      </rPr>
      <t>燃料燃油</t>
    </r>
    <phoneticPr fontId="56" type="noConversion"/>
  </si>
  <si>
    <r>
      <t xml:space="preserve">Training Materials </t>
    </r>
    <r>
      <rPr>
        <sz val="16"/>
        <rFont val="微软雅黑"/>
        <family val="2"/>
        <charset val="134"/>
      </rPr>
      <t>培训资料</t>
    </r>
  </si>
  <si>
    <r>
      <t>Recruitment Expenses</t>
    </r>
    <r>
      <rPr>
        <sz val="16"/>
        <rFont val="微软雅黑"/>
        <family val="2"/>
        <charset val="134"/>
      </rPr>
      <t>员工招聘费用</t>
    </r>
  </si>
  <si>
    <t>洗衣分摊人均</t>
    <phoneticPr fontId="56" type="noConversion"/>
  </si>
  <si>
    <t>公区175000*0.9=157500</t>
    <phoneticPr fontId="56" type="noConversion"/>
  </si>
  <si>
    <t>楼层</t>
    <phoneticPr fontId="56" type="noConversion"/>
  </si>
  <si>
    <r>
      <t xml:space="preserve">Uniforms </t>
    </r>
    <r>
      <rPr>
        <sz val="16"/>
        <rFont val="微软雅黑"/>
        <family val="2"/>
        <charset val="134"/>
      </rPr>
      <t>制服</t>
    </r>
  </si>
  <si>
    <t>Hotel Profit &amp; Loss Monthly Report</t>
  </si>
  <si>
    <t>酒店月度损益报表</t>
  </si>
  <si>
    <r>
      <t xml:space="preserve">Labor Cost </t>
    </r>
    <r>
      <rPr>
        <b/>
        <sz val="16"/>
        <rFont val="微软雅黑"/>
        <family val="2"/>
        <charset val="134"/>
      </rPr>
      <t>人工总成本（含外包工)</t>
    </r>
    <phoneticPr fontId="56" type="noConversion"/>
  </si>
  <si>
    <t xml:space="preserve">            外包人数</t>
    <phoneticPr fontId="56" type="noConversion"/>
  </si>
  <si>
    <r>
      <t xml:space="preserve">Labor Cost </t>
    </r>
    <r>
      <rPr>
        <sz val="16"/>
        <rFont val="微软雅黑"/>
        <family val="2"/>
        <charset val="134"/>
      </rPr>
      <t>人工总成本（不含外包工）</t>
    </r>
    <phoneticPr fontId="56" type="noConversion"/>
  </si>
  <si>
    <r>
      <t xml:space="preserve">FTEs </t>
    </r>
    <r>
      <rPr>
        <sz val="16"/>
        <rFont val="宋体"/>
        <family val="3"/>
        <charset val="134"/>
      </rPr>
      <t>全职员工人数（不含外包工）</t>
    </r>
    <phoneticPr fontId="56" type="noConversion"/>
  </si>
  <si>
    <r>
      <rPr>
        <sz val="16"/>
        <rFont val="MS Gothic"/>
        <family val="3"/>
        <charset val="128"/>
      </rPr>
      <t>其中：</t>
    </r>
    <r>
      <rPr>
        <sz val="16"/>
        <rFont val="Arial"/>
        <family val="3"/>
        <charset val="128"/>
      </rPr>
      <t xml:space="preserve">           </t>
    </r>
    <r>
      <rPr>
        <sz val="16"/>
        <rFont val="MS Gothic"/>
        <family val="3"/>
        <charset val="128"/>
      </rPr>
      <t>外包</t>
    </r>
    <r>
      <rPr>
        <sz val="16"/>
        <rFont val="宋体"/>
        <family val="3"/>
        <charset val="134"/>
      </rPr>
      <t>人工成本（工资含餐费）</t>
    </r>
    <phoneticPr fontId="56" type="noConversion"/>
  </si>
  <si>
    <r>
      <t xml:space="preserve">Laundry Supplies </t>
    </r>
    <r>
      <rPr>
        <sz val="16"/>
        <rFont val="微软雅黑"/>
        <family val="2"/>
        <charset val="134"/>
      </rPr>
      <t>洗衣用品</t>
    </r>
  </si>
  <si>
    <r>
      <t xml:space="preserve">Flyers </t>
    </r>
    <r>
      <rPr>
        <sz val="16"/>
        <rFont val="微软雅黑"/>
        <family val="2"/>
        <charset val="134"/>
      </rPr>
      <t>传单</t>
    </r>
  </si>
  <si>
    <r>
      <t xml:space="preserve">Menus &amp; Beverage Lists </t>
    </r>
    <r>
      <rPr>
        <sz val="16"/>
        <rFont val="微软雅黑"/>
        <family val="2"/>
        <charset val="134"/>
      </rPr>
      <t>菜单及饮料单</t>
    </r>
  </si>
  <si>
    <r>
      <t xml:space="preserve">Food &amp; Beverage Promotions </t>
    </r>
    <r>
      <rPr>
        <sz val="16"/>
        <rFont val="微软雅黑"/>
        <family val="2"/>
        <charset val="134"/>
      </rPr>
      <t>餐饮促销</t>
    </r>
  </si>
  <si>
    <r>
      <t xml:space="preserve">Promotional Gifts </t>
    </r>
    <r>
      <rPr>
        <sz val="16"/>
        <rFont val="微软雅黑"/>
        <family val="2"/>
        <charset val="134"/>
      </rPr>
      <t>推广礼品</t>
    </r>
  </si>
  <si>
    <r>
      <t xml:space="preserve">Plant Hire </t>
    </r>
    <r>
      <rPr>
        <sz val="16"/>
        <rFont val="微软雅黑"/>
        <family val="2"/>
        <charset val="134"/>
      </rPr>
      <t>植物租摆</t>
    </r>
  </si>
  <si>
    <r>
      <t xml:space="preserve">Music/Entertainment </t>
    </r>
    <r>
      <rPr>
        <sz val="16"/>
        <rFont val="微软雅黑"/>
        <family val="2"/>
        <charset val="134"/>
      </rPr>
      <t>音乐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娱乐</t>
    </r>
  </si>
  <si>
    <r>
      <t xml:space="preserve">Banquet Expenses </t>
    </r>
    <r>
      <rPr>
        <sz val="16"/>
        <rFont val="微软雅黑"/>
        <family val="2"/>
        <charset val="134"/>
      </rPr>
      <t>宴会费用</t>
    </r>
  </si>
  <si>
    <r>
      <t xml:space="preserve">Kitchen Fuel </t>
    </r>
    <r>
      <rPr>
        <sz val="16"/>
        <rFont val="微软雅黑"/>
        <family val="2"/>
        <charset val="134"/>
      </rPr>
      <t>厨房燃料</t>
    </r>
  </si>
  <si>
    <r>
      <t xml:space="preserve">Hygiene </t>
    </r>
    <r>
      <rPr>
        <sz val="16"/>
        <rFont val="微软雅黑"/>
        <family val="2"/>
        <charset val="134"/>
      </rPr>
      <t>卫生</t>
    </r>
  </si>
  <si>
    <r>
      <t xml:space="preserve">Medical/First Aid Expenses </t>
    </r>
    <r>
      <rPr>
        <sz val="16"/>
        <rFont val="微软雅黑"/>
        <family val="2"/>
        <charset val="134"/>
      </rPr>
      <t>急救费用</t>
    </r>
  </si>
  <si>
    <r>
      <t xml:space="preserve">Food Testing </t>
    </r>
    <r>
      <rPr>
        <sz val="16"/>
        <rFont val="微软雅黑"/>
        <family val="2"/>
        <charset val="134"/>
      </rPr>
      <t>食品测试</t>
    </r>
  </si>
  <si>
    <r>
      <t xml:space="preserve">Oil </t>
    </r>
    <r>
      <rPr>
        <sz val="16"/>
        <rFont val="微软雅黑"/>
        <family val="2"/>
        <charset val="134"/>
      </rPr>
      <t>汽油</t>
    </r>
  </si>
  <si>
    <r>
      <t xml:space="preserve">Vehicles Maintenance </t>
    </r>
    <r>
      <rPr>
        <sz val="16"/>
        <rFont val="微软雅黑"/>
        <family val="2"/>
        <charset val="134"/>
      </rPr>
      <t>车辆维修</t>
    </r>
  </si>
  <si>
    <r>
      <t xml:space="preserve">Vehicle Insurance </t>
    </r>
    <r>
      <rPr>
        <sz val="16"/>
        <rFont val="微软雅黑"/>
        <family val="2"/>
        <charset val="134"/>
      </rPr>
      <t>车辆保险</t>
    </r>
  </si>
  <si>
    <r>
      <t xml:space="preserve">Vehicle Tax </t>
    </r>
    <r>
      <rPr>
        <sz val="16"/>
        <rFont val="微软雅黑"/>
        <family val="2"/>
        <charset val="134"/>
      </rPr>
      <t>车辆税</t>
    </r>
  </si>
  <si>
    <r>
      <t xml:space="preserve">Pool Supplies </t>
    </r>
    <r>
      <rPr>
        <sz val="16"/>
        <rFont val="微软雅黑"/>
        <family val="2"/>
        <charset val="134"/>
      </rPr>
      <t>泳池用品</t>
    </r>
  </si>
  <si>
    <r>
      <t xml:space="preserve">General Supplies-GuestLaundry </t>
    </r>
    <r>
      <rPr>
        <sz val="16"/>
        <rFont val="微软雅黑"/>
        <family val="2"/>
        <charset val="134"/>
      </rPr>
      <t>一般用品</t>
    </r>
    <r>
      <rPr>
        <sz val="16"/>
        <rFont val="Arial"/>
        <family val="2"/>
      </rPr>
      <t>-</t>
    </r>
    <r>
      <rPr>
        <sz val="16"/>
        <rFont val="微软雅黑"/>
        <family val="2"/>
        <charset val="134"/>
      </rPr>
      <t>客衣</t>
    </r>
  </si>
  <si>
    <r>
      <t xml:space="preserve">Staff Canteen-Food </t>
    </r>
    <r>
      <rPr>
        <sz val="16"/>
        <rFont val="微软雅黑"/>
        <family val="2"/>
        <charset val="134"/>
      </rPr>
      <t>员工餐厅食品</t>
    </r>
  </si>
  <si>
    <r>
      <t xml:space="preserve">Staff Canteen-Beverage </t>
    </r>
    <r>
      <rPr>
        <sz val="16"/>
        <rFont val="微软雅黑"/>
        <family val="2"/>
        <charset val="134"/>
      </rPr>
      <t>员工餐厅饮料酒水</t>
    </r>
  </si>
  <si>
    <r>
      <t xml:space="preserve">Dormitory Supplies </t>
    </r>
    <r>
      <rPr>
        <sz val="16"/>
        <rFont val="微软雅黑"/>
        <family val="2"/>
        <charset val="134"/>
      </rPr>
      <t>员工宿舍用品</t>
    </r>
  </si>
  <si>
    <r>
      <t xml:space="preserve">Photocopy </t>
    </r>
    <r>
      <rPr>
        <sz val="16"/>
        <rFont val="微软雅黑"/>
        <family val="2"/>
        <charset val="134"/>
      </rPr>
      <t>复印费</t>
    </r>
  </si>
  <si>
    <r>
      <t xml:space="preserve">Postage </t>
    </r>
    <r>
      <rPr>
        <sz val="16"/>
        <rFont val="微软雅黑"/>
        <family val="2"/>
        <charset val="134"/>
      </rPr>
      <t>邮费</t>
    </r>
  </si>
  <si>
    <r>
      <t xml:space="preserve">Transportation </t>
    </r>
    <r>
      <rPr>
        <sz val="16"/>
        <rFont val="微软雅黑"/>
        <family val="2"/>
        <charset val="134"/>
      </rPr>
      <t>交通</t>
    </r>
    <r>
      <rPr>
        <sz val="16"/>
        <rFont val="Arial"/>
        <family val="2"/>
      </rPr>
      <t xml:space="preserve"> - Guest </t>
    </r>
    <r>
      <rPr>
        <sz val="16"/>
        <rFont val="微软雅黑"/>
        <family val="2"/>
        <charset val="134"/>
      </rPr>
      <t>客人</t>
    </r>
  </si>
  <si>
    <r>
      <t xml:space="preserve">Transportation </t>
    </r>
    <r>
      <rPr>
        <sz val="16"/>
        <rFont val="微软雅黑"/>
        <family val="2"/>
        <charset val="134"/>
      </rPr>
      <t>交通</t>
    </r>
    <r>
      <rPr>
        <sz val="16"/>
        <rFont val="Arial"/>
        <family val="2"/>
      </rPr>
      <t xml:space="preserve"> - Staff </t>
    </r>
    <r>
      <rPr>
        <sz val="16"/>
        <rFont val="微软雅黑"/>
        <family val="2"/>
        <charset val="134"/>
      </rPr>
      <t>员工</t>
    </r>
  </si>
  <si>
    <r>
      <t xml:space="preserve">Lost &amp; Damaged </t>
    </r>
    <r>
      <rPr>
        <sz val="16"/>
        <rFont val="微软雅黑"/>
        <family val="2"/>
        <charset val="134"/>
      </rPr>
      <t>丢失与损坏</t>
    </r>
  </si>
  <si>
    <r>
      <t xml:space="preserve">License Fee </t>
    </r>
    <r>
      <rPr>
        <sz val="16"/>
        <rFont val="微软雅黑"/>
        <family val="2"/>
        <charset val="134"/>
      </rPr>
      <t>执照</t>
    </r>
    <r>
      <rPr>
        <sz val="16"/>
        <rFont val="Arial"/>
        <family val="2"/>
      </rPr>
      <t>/</t>
    </r>
    <r>
      <rPr>
        <sz val="16"/>
        <rFont val="微软雅黑"/>
        <family val="2"/>
        <charset val="134"/>
      </rPr>
      <t>许可证费</t>
    </r>
  </si>
  <si>
    <r>
      <t xml:space="preserve">Professional Services </t>
    </r>
    <r>
      <rPr>
        <sz val="16"/>
        <rFont val="微软雅黑"/>
        <family val="2"/>
        <charset val="134"/>
      </rPr>
      <t>专业服务</t>
    </r>
  </si>
  <si>
    <r>
      <t xml:space="preserve">Supervision Fee </t>
    </r>
    <r>
      <rPr>
        <sz val="16"/>
        <rFont val="宋体"/>
        <family val="3"/>
        <charset val="134"/>
      </rPr>
      <t>监管费</t>
    </r>
  </si>
  <si>
    <r>
      <t xml:space="preserve">Miscellaneous Expenses </t>
    </r>
    <r>
      <rPr>
        <sz val="16"/>
        <rFont val="微软雅黑"/>
        <family val="2"/>
        <charset val="134"/>
      </rPr>
      <t>杂项</t>
    </r>
  </si>
  <si>
    <r>
      <t xml:space="preserve">Total Operating Expenses </t>
    </r>
    <r>
      <rPr>
        <b/>
        <sz val="16"/>
        <rFont val="宋体"/>
        <family val="3"/>
        <charset val="134"/>
      </rPr>
      <t>费用合计</t>
    </r>
  </si>
  <si>
    <r>
      <t xml:space="preserve">Total Undistributed Expense </t>
    </r>
    <r>
      <rPr>
        <b/>
        <sz val="16"/>
        <rFont val="宋体"/>
        <family val="3"/>
        <charset val="134"/>
      </rPr>
      <t>不分配费用合计</t>
    </r>
  </si>
  <si>
    <r>
      <t xml:space="preserve">FTEs </t>
    </r>
    <r>
      <rPr>
        <b/>
        <sz val="16"/>
        <rFont val="微软雅黑"/>
        <family val="2"/>
        <charset val="134"/>
      </rPr>
      <t>全职员工人数</t>
    </r>
  </si>
  <si>
    <r>
      <rPr>
        <sz val="16"/>
        <rFont val="宋体"/>
        <family val="3"/>
        <charset val="134"/>
      </rPr>
      <t xml:space="preserve">            </t>
    </r>
    <r>
      <rPr>
        <sz val="16"/>
        <rFont val="MS Gothic"/>
        <family val="3"/>
        <charset val="128"/>
      </rPr>
      <t>外包</t>
    </r>
    <r>
      <rPr>
        <sz val="16"/>
        <rFont val="宋体"/>
        <family val="3"/>
        <charset val="134"/>
      </rPr>
      <t>餐费</t>
    </r>
    <phoneticPr fontId="56" type="noConversion"/>
  </si>
  <si>
    <t>前厅</t>
    <phoneticPr fontId="56" type="noConversion"/>
  </si>
  <si>
    <t>客房</t>
    <phoneticPr fontId="56" type="noConversion"/>
  </si>
  <si>
    <t>预订</t>
    <phoneticPr fontId="56" type="noConversion"/>
  </si>
  <si>
    <t>房务办公室</t>
    <phoneticPr fontId="56" type="noConversion"/>
  </si>
  <si>
    <t>餐饮办公室</t>
    <phoneticPr fontId="56" type="noConversion"/>
  </si>
  <si>
    <t>芳菲苑</t>
    <phoneticPr fontId="56" type="noConversion"/>
  </si>
  <si>
    <t>御苑</t>
    <phoneticPr fontId="56" type="noConversion"/>
  </si>
  <si>
    <t>品聚</t>
    <phoneticPr fontId="56" type="noConversion"/>
  </si>
  <si>
    <t>宴会</t>
    <phoneticPr fontId="56" type="noConversion"/>
  </si>
  <si>
    <t>送餐</t>
    <phoneticPr fontId="56" type="noConversion"/>
  </si>
  <si>
    <t>管事部</t>
    <phoneticPr fontId="56" type="noConversion"/>
  </si>
  <si>
    <t>健身房</t>
    <phoneticPr fontId="56" type="noConversion"/>
  </si>
  <si>
    <t>行政办公室</t>
    <phoneticPr fontId="56" type="noConversion"/>
  </si>
  <si>
    <t>工程部</t>
    <phoneticPr fontId="56" type="noConversion"/>
  </si>
  <si>
    <t>财务部</t>
    <phoneticPr fontId="56" type="noConversion"/>
  </si>
  <si>
    <t>人事部</t>
    <phoneticPr fontId="56" type="noConversion"/>
  </si>
  <si>
    <t>安全部</t>
    <phoneticPr fontId="56" type="noConversion"/>
  </si>
  <si>
    <t>IT</t>
    <phoneticPr fontId="56" type="noConversion"/>
  </si>
  <si>
    <t>销售部</t>
    <phoneticPr fontId="56" type="noConversion"/>
  </si>
  <si>
    <t>洗衣房</t>
    <phoneticPr fontId="56" type="noConversion"/>
  </si>
  <si>
    <t>员工餐厅</t>
    <phoneticPr fontId="56" type="noConversion"/>
  </si>
  <si>
    <t>洗衣分摊（人数）</t>
    <phoneticPr fontId="56" type="noConversion"/>
  </si>
  <si>
    <t>分摊比例</t>
    <phoneticPr fontId="56" type="noConversion"/>
  </si>
  <si>
    <t>total</t>
    <phoneticPr fontId="56" type="noConversion"/>
  </si>
  <si>
    <t>分摊金额</t>
    <phoneticPr fontId="56" type="noConversion"/>
  </si>
  <si>
    <t>员工餐厅（放人事部）</t>
    <phoneticPr fontId="56" type="noConversion"/>
  </si>
  <si>
    <t>Pingju Zhuhai</t>
    <phoneticPr fontId="56" type="noConversion"/>
  </si>
  <si>
    <t>MP Café</t>
    <phoneticPr fontId="56" type="noConversion"/>
  </si>
  <si>
    <t>Fangfei Lounge</t>
    <phoneticPr fontId="56" type="noConversion"/>
  </si>
  <si>
    <t>外包餐费</t>
    <phoneticPr fontId="56" type="noConversion"/>
  </si>
  <si>
    <t>正式工</t>
    <phoneticPr fontId="56" type="noConversion"/>
  </si>
  <si>
    <t>F&amp;B</t>
    <phoneticPr fontId="56" type="noConversion"/>
  </si>
  <si>
    <t>ODD</t>
    <phoneticPr fontId="56" type="noConversion"/>
  </si>
  <si>
    <t>A&amp;G</t>
    <phoneticPr fontId="56" type="noConversion"/>
  </si>
  <si>
    <t>R&amp;M</t>
    <phoneticPr fontId="56" type="noConversion"/>
  </si>
  <si>
    <t>S&amp;M</t>
    <phoneticPr fontId="56" type="noConversion"/>
  </si>
  <si>
    <t>Rooms</t>
    <phoneticPr fontId="56" type="noConversion"/>
  </si>
  <si>
    <t>员餐</t>
    <phoneticPr fontId="56" type="noConversion"/>
  </si>
  <si>
    <t>餐费合计</t>
    <phoneticPr fontId="56" type="noConversion"/>
  </si>
  <si>
    <t>婚礼秀\婚博会\美育项目等</t>
    <phoneticPr fontId="56" type="noConversion"/>
  </si>
  <si>
    <r>
      <rPr>
        <sz val="16"/>
        <rFont val="宋体"/>
        <family val="3"/>
        <charset val="134"/>
      </rPr>
      <t>会员</t>
    </r>
    <r>
      <rPr>
        <sz val="16"/>
        <rFont val="Arial"/>
        <family val="2"/>
      </rPr>
      <t>\</t>
    </r>
    <r>
      <rPr>
        <sz val="16"/>
        <rFont val="宋体"/>
        <family val="3"/>
        <charset val="134"/>
      </rPr>
      <t>客户答谢活动</t>
    </r>
    <phoneticPr fontId="56" type="noConversion"/>
  </si>
  <si>
    <t>大易20000及集团渠道15000，实习生管理费 预计600人/月一共15人每月9000，实习行程费报销实习满三月报销来程，实习结束报销返程，单程预计700元，预计20人，</t>
    <phoneticPr fontId="56" type="noConversion"/>
  </si>
  <si>
    <t>雇主责任险+雇员忠诚险</t>
    <phoneticPr fontId="56" type="noConversion"/>
  </si>
  <si>
    <r>
      <rPr>
        <sz val="16"/>
        <rFont val="MS Gothic"/>
        <family val="3"/>
        <charset val="128"/>
      </rPr>
      <t>其中：</t>
    </r>
    <r>
      <rPr>
        <sz val="16"/>
        <rFont val="Arial"/>
        <family val="2"/>
      </rPr>
      <t xml:space="preserve">     </t>
    </r>
    <r>
      <rPr>
        <sz val="16"/>
        <rFont val="MS Gothic"/>
        <family val="3"/>
        <charset val="128"/>
      </rPr>
      <t>外包人工成本</t>
    </r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</si>
</sst>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* #,##0.00_);_(* \(#,##0.00\);_(* &quot;-&quot;??_);_(@_)"/>
    <numFmt numFmtId="177" formatCode="_ * #,##0_ ;_ * \-#,##0_ ;_ * &quot;-&quot;??_ ;_ @_ "/>
    <numFmt numFmtId="178" formatCode="_ * #,##0.000_ ;_ * \-#,##0.000_ ;_ * &quot;-&quot;??_ ;_ @_ "/>
    <numFmt numFmtId="179" formatCode="0.0%"/>
    <numFmt numFmtId="180" formatCode="_(* #,##0_);_(* \(#,##0\);_(* &quot;-&quot;??_);_(@_)"/>
    <numFmt numFmtId="181" formatCode="0.0"/>
    <numFmt numFmtId="182" formatCode="_(* #,##0.0_);_(* \(#,##0.0\);_(* &quot;-&quot;??_);_(@_)"/>
    <numFmt numFmtId="183" formatCode="_ \¥* #,##0.00_ ;_ \¥* \-#,##0.00_ ;_ \¥* &quot;-&quot;??_ ;_ @_ "/>
    <numFmt numFmtId="184" formatCode="#,##0.00_ "/>
    <numFmt numFmtId="185" formatCode="#,##0.00_);\(#,##0.00\)"/>
    <numFmt numFmtId="186" formatCode="#,##0.00_);[Red]\(#,##0.00\)"/>
    <numFmt numFmtId="187" formatCode="_(* #,##0.000_);_(* \(#,##0.000\);_(* &quot;-&quot;??_);_(@_)"/>
    <numFmt numFmtId="188" formatCode="0.0_ "/>
    <numFmt numFmtId="189" formatCode="#,##0_);\(#,##0\)"/>
    <numFmt numFmtId="190" formatCode="0.00_);[Red]\(0.00\)"/>
    <numFmt numFmtId="191" formatCode="#,##0_);[Red]\(#,##0\)"/>
    <numFmt numFmtId="192" formatCode="0_ "/>
  </numFmts>
  <fonts count="106">
    <font>
      <sz val="11"/>
      <color theme="1"/>
      <name val="宋体"/>
      <charset val="134"/>
      <scheme val="minor"/>
    </font>
    <font>
      <sz val="12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8"/>
      <name val="微软雅黑"/>
      <family val="2"/>
      <charset val="134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sz val="16"/>
      <name val="微软雅黑"/>
      <family val="2"/>
      <charset val="134"/>
    </font>
    <font>
      <i/>
      <sz val="16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1"/>
      <name val="Arial"/>
      <family val="2"/>
    </font>
    <font>
      <sz val="12"/>
      <name val="宋体"/>
      <family val="3"/>
      <charset val="134"/>
    </font>
    <font>
      <sz val="18"/>
      <name val="微软雅黑"/>
      <family val="2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6"/>
      <name val="微软雅黑"/>
      <family val="2"/>
      <charset val="134"/>
    </font>
    <font>
      <i/>
      <sz val="16"/>
      <color rgb="FFFF000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6"/>
      <color theme="1"/>
      <name val="Calibri"/>
      <family val="2"/>
    </font>
    <font>
      <sz val="12"/>
      <name val="Calibri"/>
      <family val="2"/>
    </font>
    <font>
      <b/>
      <sz val="12"/>
      <color rgb="FFFF0000"/>
      <name val="宋体"/>
      <family val="3"/>
      <charset val="134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ndara"/>
      <family val="2"/>
    </font>
    <font>
      <sz val="11"/>
      <color theme="1"/>
      <name val="宋体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sz val="12"/>
      <name val="新細明體"/>
      <charset val="136"/>
    </font>
    <font>
      <sz val="11"/>
      <color indexed="10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4"/>
      <name val="Terminal"/>
      <family val="3"/>
      <charset val="134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宋体"/>
      <family val="2"/>
      <scheme val="minor"/>
    </font>
    <font>
      <b/>
      <sz val="11"/>
      <color indexed="63"/>
      <name val="Calibri"/>
      <family val="2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8"/>
      <color rgb="FFFF0000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b/>
      <sz val="18"/>
      <color rgb="FFFF0000"/>
      <name val="Arial"/>
      <family val="2"/>
    </font>
    <font>
      <sz val="16"/>
      <color theme="1"/>
      <name val="Arial"/>
      <family val="2"/>
    </font>
    <font>
      <sz val="18"/>
      <name val="宋体"/>
      <family val="3"/>
      <charset val="134"/>
    </font>
    <font>
      <sz val="14"/>
      <name val="Arial"/>
      <family val="2"/>
    </font>
    <font>
      <sz val="22"/>
      <name val="微软雅黑"/>
      <family val="2"/>
      <charset val="134"/>
    </font>
    <font>
      <sz val="16"/>
      <color rgb="FFFF0000"/>
      <name val="微软雅黑"/>
      <family val="2"/>
      <charset val="134"/>
    </font>
    <font>
      <sz val="12"/>
      <color rgb="FFFF0000"/>
      <name val="Calibri"/>
      <family val="2"/>
    </font>
    <font>
      <sz val="11"/>
      <color theme="1"/>
      <name val="宋体"/>
      <family val="3"/>
      <charset val="134"/>
    </font>
    <font>
      <sz val="14"/>
      <name val="宋体"/>
      <family val="2"/>
      <charset val="134"/>
    </font>
    <font>
      <sz val="14"/>
      <name val="Arial"/>
      <family val="2"/>
      <charset val="134"/>
    </font>
    <font>
      <sz val="14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Microsoft YaHei UI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2"/>
      <charset val="134"/>
    </font>
    <font>
      <b/>
      <sz val="18"/>
      <name val="Microsoft JhengHei"/>
      <family val="2"/>
      <charset val="136"/>
    </font>
    <font>
      <sz val="20"/>
      <name val="Arial"/>
      <family val="2"/>
    </font>
    <font>
      <sz val="20"/>
      <name val="宋体"/>
      <family val="3"/>
      <charset val="134"/>
    </font>
    <font>
      <b/>
      <sz val="20"/>
      <name val="Arial"/>
      <family val="2"/>
    </font>
    <font>
      <b/>
      <sz val="20"/>
      <name val="宋体"/>
      <family val="3"/>
      <charset val="134"/>
    </font>
    <font>
      <sz val="16"/>
      <name val="宋体"/>
      <family val="2"/>
      <charset val="134"/>
    </font>
    <font>
      <sz val="15.75"/>
      <color rgb="FF000000"/>
      <name val="宋体"/>
      <family val="2"/>
      <scheme val="minor"/>
    </font>
    <font>
      <sz val="16"/>
      <color rgb="FF5E5EFC"/>
      <name val="Arial"/>
      <family val="2"/>
    </font>
    <font>
      <sz val="16"/>
      <color rgb="FF5E5EFC"/>
      <name val="微软雅黑"/>
      <family val="2"/>
      <charset val="134"/>
    </font>
    <font>
      <sz val="15.75"/>
      <name val="宋体"/>
      <family val="2"/>
      <scheme val="minor"/>
    </font>
    <font>
      <sz val="16"/>
      <name val="MS Gothic"/>
      <family val="3"/>
      <charset val="128"/>
    </font>
    <font>
      <sz val="16"/>
      <name val="Microsoft JhengHei"/>
      <family val="2"/>
      <charset val="136"/>
    </font>
    <font>
      <sz val="16"/>
      <name val="等线"/>
      <family val="2"/>
      <charset val="134"/>
    </font>
    <font>
      <sz val="11"/>
      <name val="宋体"/>
      <family val="3"/>
      <charset val="134"/>
    </font>
    <font>
      <sz val="11"/>
      <name val="Calibri"/>
      <family val="2"/>
    </font>
    <font>
      <sz val="18"/>
      <color rgb="FFFF0000"/>
      <name val="微软雅黑"/>
      <family val="2"/>
      <charset val="134"/>
    </font>
    <font>
      <sz val="20"/>
      <name val="微软雅黑"/>
      <family val="2"/>
      <charset val="134"/>
    </font>
    <font>
      <b/>
      <sz val="16"/>
      <name val="宋体"/>
      <family val="2"/>
      <charset val="134"/>
    </font>
    <font>
      <b/>
      <sz val="16"/>
      <name val="Arial"/>
      <family val="3"/>
      <charset val="128"/>
    </font>
    <font>
      <b/>
      <sz val="16"/>
      <name val="MS Gothic"/>
      <family val="3"/>
      <charset val="128"/>
    </font>
    <font>
      <sz val="16"/>
      <name val="Arial"/>
      <family val="3"/>
      <charset val="128"/>
    </font>
    <font>
      <sz val="15.75"/>
      <color rgb="FF000000"/>
      <name val="Arial"/>
      <family val="2"/>
    </font>
    <font>
      <sz val="15.75"/>
      <name val="Arial"/>
      <family val="2"/>
    </font>
    <font>
      <sz val="16"/>
      <name val="MS Gothic"/>
      <family val="3"/>
      <charset val="134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26">
    <xf numFmtId="0" fontId="0" fillId="0" borderId="0"/>
    <xf numFmtId="0" fontId="35" fillId="8" borderId="11" applyNumberFormat="0" applyAlignment="0" applyProtection="0"/>
    <xf numFmtId="17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1" fillId="12" borderId="0" applyNumberFormat="0" applyBorder="0" applyAlignment="0" applyProtection="0"/>
    <xf numFmtId="176" fontId="30" fillId="0" borderId="0" applyFont="0" applyFill="0" applyBorder="0" applyAlignment="0" applyProtection="0"/>
    <xf numFmtId="0" fontId="31" fillId="12" borderId="0" applyNumberFormat="0" applyBorder="0" applyAlignment="0" applyProtection="0"/>
    <xf numFmtId="0" fontId="32" fillId="0" borderId="0"/>
    <xf numFmtId="0" fontId="31" fillId="6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9" borderId="0" applyNumberFormat="0" applyBorder="0" applyAlignment="0" applyProtection="0"/>
    <xf numFmtId="0" fontId="31" fillId="13" borderId="0" applyNumberFormat="0" applyBorder="0" applyAlignment="0" applyProtection="0"/>
    <xf numFmtId="0" fontId="37" fillId="0" borderId="0">
      <alignment vertical="center"/>
    </xf>
    <xf numFmtId="0" fontId="34" fillId="16" borderId="0" applyNumberFormat="0" applyBorder="0" applyAlignment="0" applyProtection="0"/>
    <xf numFmtId="0" fontId="31" fillId="8" borderId="0" applyNumberFormat="0" applyBorder="0" applyAlignment="0" applyProtection="0"/>
    <xf numFmtId="0" fontId="31" fillId="7" borderId="0" applyNumberFormat="0" applyBorder="0" applyAlignment="0" applyProtection="0"/>
    <xf numFmtId="0" fontId="31" fillId="5" borderId="0" applyNumberFormat="0" applyBorder="0" applyAlignment="0" applyProtection="0"/>
    <xf numFmtId="0" fontId="31" fillId="16" borderId="0" applyNumberFormat="0" applyBorder="0" applyAlignment="0" applyProtection="0"/>
    <xf numFmtId="0" fontId="39" fillId="0" borderId="14" applyNumberFormat="0" applyFill="0" applyAlignment="0" applyProtection="0"/>
    <xf numFmtId="0" fontId="34" fillId="7" borderId="0" applyNumberFormat="0" applyBorder="0" applyAlignment="0" applyProtection="0"/>
    <xf numFmtId="0" fontId="33" fillId="0" borderId="0"/>
    <xf numFmtId="0" fontId="32" fillId="0" borderId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4" fillId="17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17" borderId="0" applyNumberFormat="0" applyBorder="0" applyAlignment="0" applyProtection="0"/>
    <xf numFmtId="0" fontId="34" fillId="19" borderId="0" applyNumberFormat="0" applyBorder="0" applyAlignment="0" applyProtection="0"/>
    <xf numFmtId="0" fontId="42" fillId="9" borderId="0" applyNumberFormat="0" applyBorder="0" applyAlignment="0" applyProtection="0"/>
    <xf numFmtId="0" fontId="43" fillId="24" borderId="11" applyNumberFormat="0" applyAlignment="0" applyProtection="0"/>
    <xf numFmtId="0" fontId="44" fillId="25" borderId="15" applyNumberFormat="0" applyAlignment="0" applyProtection="0"/>
    <xf numFmtId="0" fontId="33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6" fillId="13" borderId="0" applyNumberFormat="0" applyBorder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49" fillId="0" borderId="18" applyNumberFormat="0" applyFill="0" applyAlignment="0" applyProtection="0"/>
    <xf numFmtId="0" fontId="50" fillId="26" borderId="0" applyNumberFormat="0" applyBorder="0" applyAlignment="0" applyProtection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51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4" fillId="0" borderId="0"/>
    <xf numFmtId="0" fontId="14" fillId="0" borderId="0">
      <alignment vertical="center"/>
    </xf>
    <xf numFmtId="0" fontId="33" fillId="10" borderId="12" applyNumberFormat="0" applyFont="0" applyAlignment="0" applyProtection="0"/>
    <xf numFmtId="0" fontId="33" fillId="10" borderId="12" applyNumberFormat="0" applyFont="0" applyAlignment="0" applyProtection="0"/>
    <xf numFmtId="0" fontId="41" fillId="0" borderId="0"/>
    <xf numFmtId="0" fontId="33" fillId="10" borderId="12" applyNumberFormat="0" applyFont="0" applyAlignment="0" applyProtection="0"/>
    <xf numFmtId="0" fontId="14" fillId="0" borderId="0">
      <alignment vertical="center"/>
    </xf>
    <xf numFmtId="0" fontId="52" fillId="24" borderId="19" applyNumberFormat="0" applyAlignment="0" applyProtection="0"/>
    <xf numFmtId="9" fontId="30" fillId="0" borderId="0" applyFont="0" applyFill="0" applyBorder="0" applyAlignment="0" applyProtection="0"/>
    <xf numFmtId="0" fontId="14" fillId="0" borderId="0">
      <alignment vertical="center"/>
    </xf>
    <xf numFmtId="0" fontId="40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>
      <alignment vertical="center"/>
    </xf>
    <xf numFmtId="0" fontId="80" fillId="0" borderId="0"/>
    <xf numFmtId="43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0" fontId="80" fillId="0" borderId="0"/>
    <xf numFmtId="0" fontId="80" fillId="0" borderId="0">
      <alignment vertical="center"/>
    </xf>
    <xf numFmtId="9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>
      <alignment vertical="center"/>
    </xf>
  </cellStyleXfs>
  <cellXfs count="425">
    <xf numFmtId="0" fontId="0" fillId="0" borderId="0" xfId="0"/>
    <xf numFmtId="0" fontId="1" fillId="0" borderId="0" xfId="47" applyFont="1" applyAlignment="1">
      <alignment horizontal="center" vertical="center"/>
    </xf>
    <xf numFmtId="176" fontId="2" fillId="0" borderId="0" xfId="47" applyNumberFormat="1" applyFont="1"/>
    <xf numFmtId="176" fontId="3" fillId="0" borderId="0" xfId="47" applyNumberFormat="1" applyFont="1"/>
    <xf numFmtId="176" fontId="3" fillId="0" borderId="0" xfId="47" applyNumberFormat="1" applyFont="1" applyAlignment="1">
      <alignment horizontal="center" vertical="center"/>
    </xf>
    <xf numFmtId="176" fontId="1" fillId="0" borderId="0" xfId="47" applyNumberFormat="1" applyFont="1"/>
    <xf numFmtId="176" fontId="1" fillId="0" borderId="0" xfId="47" applyNumberFormat="1" applyFont="1" applyAlignment="1">
      <alignment horizontal="center"/>
    </xf>
    <xf numFmtId="177" fontId="1" fillId="0" borderId="0" xfId="2" applyNumberFormat="1" applyFont="1" applyFill="1" applyAlignment="1">
      <alignment horizontal="center"/>
    </xf>
    <xf numFmtId="41" fontId="1" fillId="0" borderId="0" xfId="47" applyNumberFormat="1" applyFont="1"/>
    <xf numFmtId="0" fontId="1" fillId="0" borderId="0" xfId="2" applyNumberFormat="1" applyFont="1" applyFill="1" applyAlignment="1">
      <alignment horizontal="center" vertical="center"/>
    </xf>
    <xf numFmtId="0" fontId="4" fillId="0" borderId="0" xfId="47" applyFont="1" applyAlignment="1">
      <alignment horizontal="center" vertical="center" shrinkToFit="1"/>
    </xf>
    <xf numFmtId="177" fontId="5" fillId="0" borderId="0" xfId="2" applyNumberFormat="1" applyFont="1" applyFill="1" applyAlignment="1">
      <alignment horizontal="center"/>
    </xf>
    <xf numFmtId="176" fontId="5" fillId="0" borderId="0" xfId="89" applyNumberFormat="1" applyFont="1" applyFill="1" applyAlignment="1">
      <alignment horizontal="right"/>
    </xf>
    <xf numFmtId="177" fontId="2" fillId="0" borderId="0" xfId="2" applyNumberFormat="1" applyFont="1" applyFill="1" applyAlignment="1">
      <alignment horizontal="center"/>
    </xf>
    <xf numFmtId="0" fontId="5" fillId="0" borderId="0" xfId="47" applyFont="1" applyAlignment="1">
      <alignment horizontal="center" vertical="center" shrinkToFit="1"/>
    </xf>
    <xf numFmtId="49" fontId="5" fillId="0" borderId="0" xfId="0" applyNumberFormat="1" applyFont="1" applyAlignment="1">
      <alignment horizontal="center" shrinkToFit="1"/>
    </xf>
    <xf numFmtId="0" fontId="6" fillId="0" borderId="0" xfId="47" applyFont="1" applyAlignment="1">
      <alignment horizontal="center" vertical="center" shrinkToFit="1"/>
    </xf>
    <xf numFmtId="176" fontId="3" fillId="0" borderId="0" xfId="47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6" fontId="7" fillId="0" borderId="0" xfId="47" applyNumberFormat="1" applyFont="1"/>
    <xf numFmtId="176" fontId="8" fillId="0" borderId="0" xfId="115" applyFont="1" applyFill="1" applyAlignment="1">
      <alignment horizontal="center"/>
    </xf>
    <xf numFmtId="176" fontId="7" fillId="0" borderId="0" xfId="47" applyNumberFormat="1" applyFont="1" applyAlignment="1">
      <alignment horizontal="left"/>
    </xf>
    <xf numFmtId="177" fontId="8" fillId="0" borderId="0" xfId="2" applyNumberFormat="1" applyFont="1" applyFill="1" applyBorder="1" applyAlignment="1">
      <alignment horizontal="right"/>
    </xf>
    <xf numFmtId="177" fontId="8" fillId="0" borderId="0" xfId="2" applyNumberFormat="1" applyFont="1" applyFill="1" applyBorder="1" applyAlignment="1">
      <alignment horizontal="center"/>
    </xf>
    <xf numFmtId="177" fontId="3" fillId="0" borderId="0" xfId="2" applyNumberFormat="1" applyFont="1" applyFill="1" applyBorder="1" applyAlignment="1">
      <alignment horizontal="right"/>
    </xf>
    <xf numFmtId="177" fontId="3" fillId="0" borderId="0" xfId="2" applyNumberFormat="1" applyFont="1" applyFill="1" applyAlignment="1">
      <alignment horizontal="center"/>
    </xf>
    <xf numFmtId="176" fontId="3" fillId="0" borderId="0" xfId="47" applyNumberFormat="1" applyFont="1" applyAlignment="1">
      <alignment horizontal="left"/>
    </xf>
    <xf numFmtId="43" fontId="3" fillId="0" borderId="0" xfId="2" applyNumberFormat="1" applyFont="1" applyFill="1" applyBorder="1" applyAlignment="1">
      <alignment horizontal="right"/>
    </xf>
    <xf numFmtId="14" fontId="3" fillId="0" borderId="0" xfId="48" applyNumberFormat="1" applyFont="1" applyAlignment="1">
      <alignment horizontal="left"/>
    </xf>
    <xf numFmtId="176" fontId="3" fillId="0" borderId="0" xfId="59" applyNumberFormat="1" applyFont="1" applyAlignment="1">
      <alignment horizontal="left"/>
    </xf>
    <xf numFmtId="43" fontId="7" fillId="0" borderId="2" xfId="2" applyNumberFormat="1" applyFont="1" applyFill="1" applyBorder="1" applyAlignment="1">
      <alignment horizontal="right"/>
    </xf>
    <xf numFmtId="178" fontId="1" fillId="0" borderId="0" xfId="2" applyNumberFormat="1" applyFont="1" applyFill="1" applyAlignment="1">
      <alignment horizontal="center"/>
    </xf>
    <xf numFmtId="41" fontId="1" fillId="0" borderId="0" xfId="47" applyNumberFormat="1" applyFont="1" applyAlignment="1">
      <alignment horizontal="center" vertical="center"/>
    </xf>
    <xf numFmtId="41" fontId="2" fillId="0" borderId="0" xfId="47" applyNumberFormat="1" applyFont="1"/>
    <xf numFmtId="176" fontId="3" fillId="0" borderId="0" xfId="47" applyNumberFormat="1" applyFont="1" applyAlignment="1">
      <alignment horizontal="right"/>
    </xf>
    <xf numFmtId="41" fontId="3" fillId="0" borderId="0" xfId="47" applyNumberFormat="1" applyFont="1"/>
    <xf numFmtId="41" fontId="3" fillId="2" borderId="0" xfId="47" applyNumberFormat="1" applyFont="1" applyFill="1" applyAlignment="1">
      <alignment horizontal="center"/>
    </xf>
    <xf numFmtId="179" fontId="3" fillId="2" borderId="0" xfId="47" applyNumberFormat="1" applyFont="1" applyFill="1" applyAlignment="1">
      <alignment horizontal="center"/>
    </xf>
    <xf numFmtId="176" fontId="7" fillId="0" borderId="0" xfId="2" applyFont="1" applyFill="1" applyBorder="1"/>
    <xf numFmtId="179" fontId="3" fillId="0" borderId="0" xfId="3" applyNumberFormat="1" applyFont="1" applyFill="1"/>
    <xf numFmtId="179" fontId="9" fillId="0" borderId="0" xfId="47" applyNumberFormat="1" applyFont="1"/>
    <xf numFmtId="176" fontId="3" fillId="0" borderId="0" xfId="2" applyFont="1" applyFill="1" applyBorder="1"/>
    <xf numFmtId="176" fontId="10" fillId="0" borderId="0" xfId="47" applyNumberFormat="1" applyFont="1"/>
    <xf numFmtId="176" fontId="3" fillId="0" borderId="0" xfId="2" applyFont="1" applyFill="1" applyBorder="1" applyAlignment="1">
      <alignment horizontal="right"/>
    </xf>
    <xf numFmtId="177" fontId="3" fillId="0" borderId="0" xfId="2" applyNumberFormat="1" applyFont="1" applyFill="1" applyBorder="1" applyAlignment="1">
      <alignment horizontal="center"/>
    </xf>
    <xf numFmtId="176" fontId="7" fillId="0" borderId="2" xfId="2" applyFont="1" applyFill="1" applyBorder="1" applyAlignment="1"/>
    <xf numFmtId="176" fontId="11" fillId="0" borderId="0" xfId="47" applyNumberFormat="1" applyFont="1"/>
    <xf numFmtId="177" fontId="12" fillId="0" borderId="0" xfId="2" applyNumberFormat="1" applyFont="1" applyFill="1" applyAlignment="1">
      <alignment horizontal="center"/>
    </xf>
    <xf numFmtId="177" fontId="7" fillId="0" borderId="0" xfId="2" applyNumberFormat="1" applyFont="1" applyFill="1" applyAlignment="1">
      <alignment horizontal="center"/>
    </xf>
    <xf numFmtId="0" fontId="3" fillId="0" borderId="0" xfId="47" applyFont="1"/>
    <xf numFmtId="176" fontId="3" fillId="0" borderId="0" xfId="47" applyNumberFormat="1" applyFont="1" applyAlignment="1">
      <alignment wrapText="1"/>
    </xf>
    <xf numFmtId="0" fontId="3" fillId="0" borderId="0" xfId="47" applyFont="1" applyAlignment="1">
      <alignment horizontal="left"/>
    </xf>
    <xf numFmtId="176" fontId="7" fillId="0" borderId="2" xfId="2" applyFont="1" applyFill="1" applyBorder="1" applyAlignment="1">
      <alignment horizontal="right"/>
    </xf>
    <xf numFmtId="177" fontId="7" fillId="0" borderId="0" xfId="2" applyNumberFormat="1" applyFont="1" applyFill="1" applyBorder="1" applyAlignment="1">
      <alignment horizontal="right"/>
    </xf>
    <xf numFmtId="0" fontId="3" fillId="0" borderId="0" xfId="47" applyFont="1" applyAlignment="1">
      <alignment wrapText="1"/>
    </xf>
    <xf numFmtId="177" fontId="7" fillId="0" borderId="0" xfId="2" applyNumberFormat="1" applyFont="1" applyFill="1" applyBorder="1" applyAlignment="1"/>
    <xf numFmtId="177" fontId="7" fillId="0" borderId="0" xfId="2" applyNumberFormat="1" applyFont="1" applyFill="1" applyBorder="1" applyAlignment="1">
      <alignment horizontal="center"/>
    </xf>
    <xf numFmtId="0" fontId="13" fillId="0" borderId="0" xfId="47" applyFont="1" applyAlignment="1">
      <alignment horizontal="left"/>
    </xf>
    <xf numFmtId="176" fontId="1" fillId="0" borderId="0" xfId="47" applyNumberFormat="1" applyFont="1" applyAlignment="1">
      <alignment horizontal="left"/>
    </xf>
    <xf numFmtId="176" fontId="3" fillId="0" borderId="0" xfId="2" applyFont="1" applyFill="1" applyAlignment="1">
      <alignment horizontal="center"/>
    </xf>
    <xf numFmtId="1" fontId="7" fillId="0" borderId="0" xfId="2" applyNumberFormat="1" applyFont="1" applyFill="1" applyBorder="1"/>
    <xf numFmtId="176" fontId="3" fillId="0" borderId="0" xfId="2" applyFont="1" applyFill="1"/>
    <xf numFmtId="176" fontId="7" fillId="0" borderId="0" xfId="2" applyFont="1" applyFill="1" applyBorder="1" applyAlignment="1"/>
    <xf numFmtId="176" fontId="3" fillId="0" borderId="0" xfId="2" applyFont="1" applyFill="1" applyBorder="1" applyAlignment="1"/>
    <xf numFmtId="176" fontId="14" fillId="0" borderId="0" xfId="47" applyNumberFormat="1" applyFont="1" applyAlignment="1">
      <alignment horizontal="center"/>
    </xf>
    <xf numFmtId="180" fontId="7" fillId="0" borderId="0" xfId="2" applyNumberFormat="1" applyFont="1" applyFill="1"/>
    <xf numFmtId="176" fontId="1" fillId="0" borderId="0" xfId="2" applyFont="1" applyFill="1"/>
    <xf numFmtId="43" fontId="1" fillId="0" borderId="0" xfId="2" applyNumberFormat="1" applyFont="1" applyFill="1" applyAlignment="1">
      <alignment horizontal="center"/>
    </xf>
    <xf numFmtId="176" fontId="7" fillId="0" borderId="0" xfId="2" applyFont="1" applyFill="1" applyBorder="1" applyAlignment="1">
      <alignment horizontal="right"/>
    </xf>
    <xf numFmtId="0" fontId="7" fillId="0" borderId="0" xfId="47" applyFont="1" applyAlignment="1">
      <alignment horizontal="left"/>
    </xf>
    <xf numFmtId="177" fontId="8" fillId="0" borderId="0" xfId="2" applyNumberFormat="1" applyFont="1" applyFill="1" applyAlignment="1">
      <alignment horizontal="right"/>
    </xf>
    <xf numFmtId="177" fontId="8" fillId="0" borderId="0" xfId="2" applyNumberFormat="1" applyFont="1" applyFill="1" applyAlignment="1">
      <alignment horizontal="center"/>
    </xf>
    <xf numFmtId="14" fontId="3" fillId="0" borderId="0" xfId="47" applyNumberFormat="1" applyFont="1" applyAlignment="1">
      <alignment horizontal="left"/>
    </xf>
    <xf numFmtId="180" fontId="3" fillId="0" borderId="0" xfId="2" applyNumberFormat="1" applyFont="1" applyFill="1" applyBorder="1" applyAlignment="1">
      <alignment horizontal="right"/>
    </xf>
    <xf numFmtId="180" fontId="3" fillId="0" borderId="0" xfId="2" applyNumberFormat="1" applyFont="1" applyFill="1"/>
    <xf numFmtId="43" fontId="7" fillId="0" borderId="0" xfId="2" applyNumberFormat="1" applyFont="1" applyFill="1" applyBorder="1" applyAlignment="1">
      <alignment horizontal="right"/>
    </xf>
    <xf numFmtId="0" fontId="3" fillId="0" borderId="0" xfId="3" applyNumberFormat="1" applyFont="1" applyFill="1"/>
    <xf numFmtId="176" fontId="9" fillId="0" borderId="0" xfId="47" applyNumberFormat="1" applyFont="1"/>
    <xf numFmtId="1" fontId="7" fillId="0" borderId="0" xfId="47" applyNumberFormat="1" applyFont="1"/>
    <xf numFmtId="180" fontId="7" fillId="0" borderId="0" xfId="47" applyNumberFormat="1" applyFont="1"/>
    <xf numFmtId="177" fontId="1" fillId="0" borderId="0" xfId="2" applyNumberFormat="1" applyFont="1" applyFill="1" applyBorder="1" applyAlignment="1">
      <alignment horizontal="center"/>
    </xf>
    <xf numFmtId="176" fontId="6" fillId="0" borderId="0" xfId="47" applyNumberFormat="1" applyFont="1"/>
    <xf numFmtId="10" fontId="1" fillId="0" borderId="0" xfId="89" applyNumberFormat="1" applyFont="1" applyFill="1" applyAlignment="1">
      <alignment horizontal="center"/>
    </xf>
    <xf numFmtId="10" fontId="1" fillId="0" borderId="0" xfId="3" applyNumberFormat="1" applyFont="1" applyFill="1" applyAlignment="1">
      <alignment horizontal="center"/>
    </xf>
    <xf numFmtId="10" fontId="5" fillId="0" borderId="0" xfId="89" applyNumberFormat="1" applyFont="1" applyFill="1" applyAlignment="1">
      <alignment horizontal="center"/>
    </xf>
    <xf numFmtId="176" fontId="5" fillId="0" borderId="0" xfId="47" applyNumberFormat="1" applyFont="1" applyAlignment="1">
      <alignment horizontal="center"/>
    </xf>
    <xf numFmtId="10" fontId="2" fillId="0" borderId="0" xfId="89" applyNumberFormat="1" applyFont="1" applyFill="1" applyAlignment="1">
      <alignment horizontal="center"/>
    </xf>
    <xf numFmtId="176" fontId="2" fillId="0" borderId="0" xfId="47" applyNumberFormat="1" applyFont="1" applyAlignment="1">
      <alignment horizontal="center"/>
    </xf>
    <xf numFmtId="10" fontId="8" fillId="0" borderId="0" xfId="89" applyNumberFormat="1" applyFont="1" applyFill="1" applyAlignment="1">
      <alignment horizontal="center"/>
    </xf>
    <xf numFmtId="43" fontId="3" fillId="0" borderId="0" xfId="2" applyNumberFormat="1" applyFont="1" applyFill="1" applyBorder="1" applyAlignment="1">
      <alignment horizontal="center"/>
    </xf>
    <xf numFmtId="43" fontId="3" fillId="0" borderId="0" xfId="2" applyNumberFormat="1" applyFont="1" applyFill="1" applyBorder="1" applyAlignment="1"/>
    <xf numFmtId="43" fontId="7" fillId="0" borderId="2" xfId="2" applyNumberFormat="1" applyFont="1" applyFill="1" applyBorder="1" applyAlignment="1"/>
    <xf numFmtId="43" fontId="7" fillId="0" borderId="0" xfId="2" applyNumberFormat="1" applyFont="1" applyFill="1" applyBorder="1" applyAlignment="1"/>
    <xf numFmtId="9" fontId="5" fillId="0" borderId="0" xfId="89" applyFont="1" applyFill="1" applyAlignment="1">
      <alignment horizontal="center"/>
    </xf>
    <xf numFmtId="10" fontId="2" fillId="0" borderId="0" xfId="3" applyNumberFormat="1" applyFont="1" applyFill="1" applyAlignment="1">
      <alignment horizontal="center"/>
    </xf>
    <xf numFmtId="10" fontId="8" fillId="0" borderId="0" xfId="3" applyNumberFormat="1" applyFont="1" applyFill="1" applyAlignment="1">
      <alignment horizontal="center"/>
    </xf>
    <xf numFmtId="43" fontId="3" fillId="0" borderId="0" xfId="2" applyNumberFormat="1" applyFont="1" applyFill="1"/>
    <xf numFmtId="43" fontId="7" fillId="0" borderId="0" xfId="2" applyNumberFormat="1" applyFont="1" applyFill="1"/>
    <xf numFmtId="179" fontId="6" fillId="0" borderId="0" xfId="3" applyNumberFormat="1" applyFont="1" applyFill="1" applyAlignment="1">
      <alignment horizontal="right"/>
    </xf>
    <xf numFmtId="43" fontId="1" fillId="0" borderId="0" xfId="89" applyNumberFormat="1" applyFont="1" applyFill="1" applyAlignment="1">
      <alignment horizontal="center"/>
    </xf>
    <xf numFmtId="43" fontId="1" fillId="0" borderId="0" xfId="47" applyNumberFormat="1" applyFont="1" applyAlignment="1">
      <alignment horizontal="center"/>
    </xf>
    <xf numFmtId="43" fontId="3" fillId="0" borderId="1" xfId="2" applyNumberFormat="1" applyFont="1" applyFill="1" applyBorder="1" applyAlignment="1"/>
    <xf numFmtId="43" fontId="1" fillId="0" borderId="0" xfId="3" applyNumberFormat="1" applyFont="1" applyFill="1" applyAlignment="1">
      <alignment horizontal="center"/>
    </xf>
    <xf numFmtId="43" fontId="1" fillId="0" borderId="0" xfId="47" applyNumberFormat="1" applyFont="1"/>
    <xf numFmtId="43" fontId="3" fillId="0" borderId="1" xfId="2" applyNumberFormat="1" applyFont="1" applyFill="1" applyBorder="1"/>
    <xf numFmtId="43" fontId="7" fillId="0" borderId="3" xfId="2" applyNumberFormat="1" applyFont="1" applyFill="1" applyBorder="1" applyAlignment="1"/>
    <xf numFmtId="177" fontId="3" fillId="0" borderId="0" xfId="2" applyNumberFormat="1" applyFont="1" applyFill="1" applyBorder="1" applyAlignment="1"/>
    <xf numFmtId="179" fontId="3" fillId="0" borderId="0" xfId="3" applyNumberFormat="1" applyFont="1" applyFill="1" applyBorder="1" applyAlignment="1"/>
    <xf numFmtId="179" fontId="3" fillId="0" borderId="0" xfId="47" applyNumberFormat="1" applyFont="1"/>
    <xf numFmtId="41" fontId="3" fillId="0" borderId="0" xfId="47" applyNumberFormat="1" applyFont="1" applyAlignment="1">
      <alignment horizontal="center"/>
    </xf>
    <xf numFmtId="179" fontId="3" fillId="0" borderId="0" xfId="47" applyNumberFormat="1" applyFont="1" applyAlignment="1">
      <alignment horizontal="center"/>
    </xf>
    <xf numFmtId="43" fontId="7" fillId="0" borderId="2" xfId="2" applyNumberFormat="1" applyFont="1" applyFill="1" applyBorder="1"/>
    <xf numFmtId="43" fontId="3" fillId="0" borderId="3" xfId="2" applyNumberFormat="1" applyFont="1" applyFill="1" applyBorder="1" applyAlignment="1"/>
    <xf numFmtId="43" fontId="3" fillId="0" borderId="0" xfId="2" applyNumberFormat="1" applyFont="1" applyFill="1" applyBorder="1"/>
    <xf numFmtId="179" fontId="1" fillId="0" borderId="0" xfId="3" applyNumberFormat="1" applyFont="1" applyFill="1"/>
    <xf numFmtId="43" fontId="6" fillId="0" borderId="0" xfId="2" applyNumberFormat="1" applyFont="1" applyFill="1" applyAlignment="1">
      <alignment horizontal="center"/>
    </xf>
    <xf numFmtId="43" fontId="1" fillId="0" borderId="3" xfId="2" applyNumberFormat="1" applyFont="1" applyFill="1" applyBorder="1" applyAlignment="1">
      <alignment horizontal="center"/>
    </xf>
    <xf numFmtId="43" fontId="1" fillId="0" borderId="2" xfId="2" applyNumberFormat="1" applyFont="1" applyFill="1" applyBorder="1" applyAlignment="1">
      <alignment horizontal="center"/>
    </xf>
    <xf numFmtId="43" fontId="3" fillId="0" borderId="2" xfId="2" applyNumberFormat="1" applyFont="1" applyFill="1" applyBorder="1" applyAlignment="1"/>
    <xf numFmtId="43" fontId="3" fillId="0" borderId="3" xfId="2" applyNumberFormat="1" applyFont="1" applyFill="1" applyBorder="1" applyAlignment="1">
      <alignment horizontal="right"/>
    </xf>
    <xf numFmtId="43" fontId="3" fillId="0" borderId="3" xfId="2" applyNumberFormat="1" applyFont="1" applyFill="1" applyBorder="1"/>
    <xf numFmtId="176" fontId="3" fillId="0" borderId="1" xfId="2" applyFont="1" applyFill="1" applyBorder="1" applyAlignment="1">
      <alignment horizontal="right"/>
    </xf>
    <xf numFmtId="179" fontId="3" fillId="0" borderId="0" xfId="3" applyNumberFormat="1" applyFont="1" applyFill="1" applyBorder="1" applyAlignment="1">
      <alignment horizontal="center"/>
    </xf>
    <xf numFmtId="10" fontId="3" fillId="0" borderId="0" xfId="89" applyNumberFormat="1" applyFont="1" applyFill="1" applyAlignment="1">
      <alignment horizontal="center"/>
    </xf>
    <xf numFmtId="176" fontId="3" fillId="0" borderId="0" xfId="2" applyFont="1" applyFill="1" applyBorder="1" applyAlignment="1">
      <alignment horizontal="center"/>
    </xf>
    <xf numFmtId="179" fontId="7" fillId="0" borderId="0" xfId="3" applyNumberFormat="1" applyFont="1" applyFill="1" applyBorder="1" applyAlignment="1">
      <alignment horizontal="center"/>
    </xf>
    <xf numFmtId="179" fontId="7" fillId="0" borderId="0" xfId="3" applyNumberFormat="1" applyFont="1" applyFill="1" applyBorder="1" applyAlignment="1"/>
    <xf numFmtId="10" fontId="3" fillId="0" borderId="0" xfId="3" applyNumberFormat="1" applyFont="1" applyFill="1" applyAlignment="1">
      <alignment horizontal="center"/>
    </xf>
    <xf numFmtId="181" fontId="7" fillId="0" borderId="0" xfId="3" applyNumberFormat="1" applyFont="1" applyFill="1" applyBorder="1" applyAlignment="1">
      <alignment horizontal="center"/>
    </xf>
    <xf numFmtId="179" fontId="7" fillId="0" borderId="0" xfId="3" applyNumberFormat="1" applyFont="1" applyFill="1"/>
    <xf numFmtId="10" fontId="7" fillId="0" borderId="0" xfId="89" applyNumberFormat="1" applyFont="1" applyFill="1" applyBorder="1" applyAlignment="1">
      <alignment horizontal="center"/>
    </xf>
    <xf numFmtId="180" fontId="7" fillId="0" borderId="0" xfId="2" applyNumberFormat="1" applyFont="1" applyFill="1" applyBorder="1" applyAlignment="1">
      <alignment horizontal="center"/>
    </xf>
    <xf numFmtId="10" fontId="7" fillId="0" borderId="0" xfId="3" applyNumberFormat="1" applyFont="1" applyFill="1" applyBorder="1" applyAlignment="1">
      <alignment horizontal="center"/>
    </xf>
    <xf numFmtId="1" fontId="7" fillId="0" borderId="0" xfId="2" applyNumberFormat="1" applyFont="1" applyFill="1"/>
    <xf numFmtId="176" fontId="9" fillId="0" borderId="0" xfId="2" applyFont="1" applyFill="1"/>
    <xf numFmtId="10" fontId="3" fillId="0" borderId="0" xfId="2" applyNumberFormat="1" applyFont="1" applyFill="1" applyBorder="1" applyAlignment="1">
      <alignment horizontal="right"/>
    </xf>
    <xf numFmtId="43" fontId="3" fillId="0" borderId="0" xfId="47" applyNumberFormat="1" applyFont="1"/>
    <xf numFmtId="10" fontId="3" fillId="0" borderId="0" xfId="47" applyNumberFormat="1" applyFont="1"/>
    <xf numFmtId="176" fontId="15" fillId="0" borderId="0" xfId="47" applyNumberFormat="1" applyFont="1"/>
    <xf numFmtId="176" fontId="16" fillId="0" borderId="0" xfId="47" applyNumberFormat="1" applyFont="1"/>
    <xf numFmtId="41" fontId="16" fillId="0" borderId="0" xfId="47" applyNumberFormat="1" applyFont="1"/>
    <xf numFmtId="177" fontId="4" fillId="0" borderId="0" xfId="2" applyNumberFormat="1" applyFont="1" applyFill="1" applyAlignment="1">
      <alignment horizontal="center"/>
    </xf>
    <xf numFmtId="176" fontId="4" fillId="0" borderId="0" xfId="89" applyNumberFormat="1" applyFont="1" applyFill="1" applyAlignment="1">
      <alignment horizontal="right"/>
    </xf>
    <xf numFmtId="177" fontId="15" fillId="0" borderId="0" xfId="2" applyNumberFormat="1" applyFont="1" applyFill="1" applyAlignment="1">
      <alignment horizontal="center"/>
    </xf>
    <xf numFmtId="0" fontId="17" fillId="0" borderId="0" xfId="47" applyFont="1" applyAlignment="1">
      <alignment horizontal="center" vertical="center" shrinkToFit="1"/>
    </xf>
    <xf numFmtId="177" fontId="16" fillId="0" borderId="0" xfId="2" applyNumberFormat="1" applyFont="1" applyFill="1" applyAlignment="1">
      <alignment horizontal="center"/>
    </xf>
    <xf numFmtId="43" fontId="3" fillId="0" borderId="0" xfId="115" applyNumberFormat="1" applyFont="1" applyFill="1" applyBorder="1" applyAlignment="1">
      <alignment horizontal="right"/>
    </xf>
    <xf numFmtId="41" fontId="15" fillId="0" borderId="0" xfId="47" applyNumberFormat="1" applyFont="1"/>
    <xf numFmtId="41" fontId="9" fillId="0" borderId="0" xfId="47" applyNumberFormat="1" applyFont="1"/>
    <xf numFmtId="179" fontId="7" fillId="0" borderId="2" xfId="3" applyNumberFormat="1" applyFont="1" applyFill="1" applyBorder="1" applyAlignment="1"/>
    <xf numFmtId="176" fontId="9" fillId="0" borderId="1" xfId="47" applyNumberFormat="1" applyFont="1" applyBorder="1"/>
    <xf numFmtId="176" fontId="7" fillId="0" borderId="2" xfId="47" applyNumberFormat="1" applyFont="1" applyBorder="1"/>
    <xf numFmtId="1" fontId="3" fillId="0" borderId="0" xfId="2" applyNumberFormat="1" applyFont="1" applyFill="1"/>
    <xf numFmtId="176" fontId="9" fillId="0" borderId="0" xfId="2" applyFont="1" applyFill="1" applyBorder="1"/>
    <xf numFmtId="176" fontId="9" fillId="0" borderId="3" xfId="2" applyFont="1" applyFill="1" applyBorder="1"/>
    <xf numFmtId="176" fontId="9" fillId="0" borderId="2" xfId="2" applyFont="1" applyFill="1" applyBorder="1"/>
    <xf numFmtId="41" fontId="10" fillId="0" borderId="0" xfId="47" applyNumberFormat="1" applyFont="1"/>
    <xf numFmtId="1" fontId="18" fillId="0" borderId="0" xfId="2" applyNumberFormat="1" applyFont="1" applyFill="1"/>
    <xf numFmtId="180" fontId="18" fillId="0" borderId="0" xfId="2" applyNumberFormat="1" applyFont="1" applyFill="1"/>
    <xf numFmtId="179" fontId="9" fillId="0" borderId="0" xfId="3" applyNumberFormat="1" applyFont="1" applyFill="1"/>
    <xf numFmtId="180" fontId="7" fillId="0" borderId="2" xfId="2" applyNumberFormat="1" applyFont="1" applyFill="1" applyBorder="1"/>
    <xf numFmtId="176" fontId="7" fillId="0" borderId="2" xfId="2" applyFont="1" applyFill="1" applyBorder="1"/>
    <xf numFmtId="180" fontId="9" fillId="0" borderId="0" xfId="2" applyNumberFormat="1" applyFont="1" applyFill="1"/>
    <xf numFmtId="182" fontId="3" fillId="0" borderId="0" xfId="2" applyNumberFormat="1" applyFont="1" applyFill="1"/>
    <xf numFmtId="182" fontId="7" fillId="0" borderId="2" xfId="2" applyNumberFormat="1" applyFont="1" applyFill="1" applyBorder="1"/>
    <xf numFmtId="179" fontId="7" fillId="0" borderId="1" xfId="3" applyNumberFormat="1" applyFont="1" applyFill="1" applyBorder="1" applyAlignment="1"/>
    <xf numFmtId="179" fontId="16" fillId="0" borderId="0" xfId="47" applyNumberFormat="1" applyFont="1"/>
    <xf numFmtId="179" fontId="1" fillId="0" borderId="0" xfId="47" applyNumberFormat="1" applyFont="1" applyAlignment="1">
      <alignment horizontal="center" vertical="center"/>
    </xf>
    <xf numFmtId="179" fontId="15" fillId="0" borderId="0" xfId="47" applyNumberFormat="1" applyFont="1"/>
    <xf numFmtId="176" fontId="7" fillId="0" borderId="0" xfId="2" applyFont="1" applyFill="1"/>
    <xf numFmtId="176" fontId="18" fillId="0" borderId="0" xfId="47" applyNumberFormat="1" applyFont="1"/>
    <xf numFmtId="0" fontId="7" fillId="0" borderId="0" xfId="47" applyFont="1" applyAlignment="1">
      <alignment horizontal="left" wrapText="1"/>
    </xf>
    <xf numFmtId="10" fontId="9" fillId="0" borderId="0" xfId="47" applyNumberFormat="1" applyFont="1"/>
    <xf numFmtId="176" fontId="19" fillId="0" borderId="0" xfId="47" applyNumberFormat="1" applyFont="1"/>
    <xf numFmtId="176" fontId="13" fillId="0" borderId="0" xfId="47" applyNumberFormat="1" applyFont="1"/>
    <xf numFmtId="0" fontId="20" fillId="0" borderId="0" xfId="47" applyFont="1" applyAlignment="1">
      <alignment horizontal="center" vertical="center" shrinkToFit="1"/>
    </xf>
    <xf numFmtId="177" fontId="13" fillId="0" borderId="0" xfId="2" applyNumberFormat="1" applyFont="1" applyFill="1" applyAlignment="1">
      <alignment horizontal="center"/>
    </xf>
    <xf numFmtId="0" fontId="3" fillId="0" borderId="0" xfId="0" applyFont="1" applyAlignment="1">
      <alignment horizontal="left" shrinkToFit="1"/>
    </xf>
    <xf numFmtId="41" fontId="13" fillId="0" borderId="0" xfId="47" applyNumberFormat="1" applyFont="1"/>
    <xf numFmtId="179" fontId="13" fillId="0" borderId="0" xfId="47" applyNumberFormat="1" applyFont="1"/>
    <xf numFmtId="179" fontId="2" fillId="0" borderId="0" xfId="47" applyNumberFormat="1" applyFont="1"/>
    <xf numFmtId="2" fontId="3" fillId="0" borderId="0" xfId="2" applyNumberFormat="1" applyFont="1" applyFill="1"/>
    <xf numFmtId="176" fontId="3" fillId="2" borderId="0" xfId="47" applyNumberFormat="1" applyFont="1" applyFill="1" applyAlignment="1">
      <alignment horizontal="center"/>
    </xf>
    <xf numFmtId="179" fontId="3" fillId="0" borderId="0" xfId="3" applyNumberFormat="1" applyFont="1" applyFill="1" applyAlignment="1">
      <alignment horizontal="right"/>
    </xf>
    <xf numFmtId="179" fontId="7" fillId="0" borderId="0" xfId="3" applyNumberFormat="1" applyFont="1" applyFill="1" applyBorder="1"/>
    <xf numFmtId="176" fontId="7" fillId="0" borderId="0" xfId="2" applyFont="1" applyFill="1" applyAlignment="1">
      <alignment horizontal="left"/>
    </xf>
    <xf numFmtId="180" fontId="7" fillId="0" borderId="0" xfId="2" applyNumberFormat="1" applyFont="1" applyFill="1" applyAlignment="1">
      <alignment horizontal="center"/>
    </xf>
    <xf numFmtId="179" fontId="7" fillId="0" borderId="0" xfId="3" applyNumberFormat="1" applyFont="1" applyFill="1" applyAlignment="1">
      <alignment horizontal="right"/>
    </xf>
    <xf numFmtId="176" fontId="7" fillId="0" borderId="0" xfId="2" applyFont="1" applyFill="1" applyAlignment="1">
      <alignment horizontal="right"/>
    </xf>
    <xf numFmtId="182" fontId="7" fillId="0" borderId="0" xfId="2" applyNumberFormat="1" applyFont="1" applyFill="1" applyAlignment="1">
      <alignment horizontal="right"/>
    </xf>
    <xf numFmtId="0" fontId="3" fillId="0" borderId="0" xfId="0" applyFont="1"/>
    <xf numFmtId="0" fontId="7" fillId="0" borderId="0" xfId="0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/>
    </xf>
    <xf numFmtId="9" fontId="1" fillId="0" borderId="0" xfId="3" applyFont="1" applyFill="1" applyAlignment="1">
      <alignment horizontal="center"/>
    </xf>
    <xf numFmtId="0" fontId="1" fillId="0" borderId="0" xfId="0" applyFont="1"/>
    <xf numFmtId="179" fontId="1" fillId="0" borderId="0" xfId="0" applyNumberFormat="1" applyFont="1"/>
    <xf numFmtId="0" fontId="6" fillId="0" borderId="0" xfId="47" applyFont="1" applyAlignment="1">
      <alignment horizontal="center" vertical="center"/>
    </xf>
    <xf numFmtId="0" fontId="6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9" fontId="6" fillId="0" borderId="0" xfId="3" applyFont="1" applyFill="1" applyAlignment="1">
      <alignment horizontal="right"/>
    </xf>
    <xf numFmtId="0" fontId="3" fillId="0" borderId="0" xfId="0" applyFont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left" shrinkToFit="1"/>
    </xf>
    <xf numFmtId="0" fontId="7" fillId="0" borderId="0" xfId="59" applyFont="1" applyAlignment="1">
      <alignment horizontal="left" shrinkToFit="1"/>
    </xf>
    <xf numFmtId="176" fontId="7" fillId="0" borderId="2" xfId="115" applyFont="1" applyFill="1" applyBorder="1" applyAlignment="1">
      <alignment horizontal="right"/>
    </xf>
    <xf numFmtId="176" fontId="3" fillId="0" borderId="0" xfId="115" applyFont="1" applyFill="1" applyAlignment="1">
      <alignment horizontal="right"/>
    </xf>
    <xf numFmtId="176" fontId="7" fillId="0" borderId="0" xfId="115" applyFont="1" applyFill="1" applyBorder="1" applyAlignment="1">
      <alignment horizontal="right"/>
    </xf>
    <xf numFmtId="0" fontId="7" fillId="0" borderId="0" xfId="46" applyFont="1" applyAlignment="1">
      <alignment horizontal="left" shrinkToFit="1"/>
    </xf>
    <xf numFmtId="179" fontId="7" fillId="0" borderId="0" xfId="3" applyNumberFormat="1" applyFont="1" applyFill="1" applyBorder="1" applyAlignment="1">
      <alignment horizontal="right"/>
    </xf>
    <xf numFmtId="176" fontId="3" fillId="0" borderId="0" xfId="115" applyFont="1" applyFill="1" applyBorder="1" applyAlignment="1">
      <alignment horizontal="right"/>
    </xf>
    <xf numFmtId="176" fontId="7" fillId="0" borderId="3" xfId="2" applyFont="1" applyFill="1" applyBorder="1" applyAlignment="1">
      <alignment horizontal="right"/>
    </xf>
    <xf numFmtId="0" fontId="3" fillId="0" borderId="0" xfId="46" applyFont="1" applyAlignment="1">
      <alignment horizontal="left" shrinkToFit="1"/>
    </xf>
    <xf numFmtId="176" fontId="7" fillId="0" borderId="4" xfId="2" applyFont="1" applyFill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3" applyFont="1" applyFill="1" applyAlignment="1">
      <alignment horizontal="center"/>
    </xf>
    <xf numFmtId="9" fontId="21" fillId="0" borderId="0" xfId="3" applyFont="1" applyFill="1" applyAlignment="1">
      <alignment horizontal="center"/>
    </xf>
    <xf numFmtId="176" fontId="3" fillId="0" borderId="0" xfId="2" applyFont="1" applyFill="1" applyAlignment="1"/>
    <xf numFmtId="179" fontId="3" fillId="0" borderId="0" xfId="0" applyNumberFormat="1" applyFont="1" applyAlignment="1">
      <alignment horizontal="center"/>
    </xf>
    <xf numFmtId="179" fontId="3" fillId="0" borderId="0" xfId="3" applyNumberFormat="1" applyFont="1" applyFill="1" applyAlignment="1"/>
    <xf numFmtId="183" fontId="3" fillId="0" borderId="0" xfId="0" applyNumberFormat="1" applyFont="1"/>
    <xf numFmtId="179" fontId="3" fillId="0" borderId="0" xfId="0" applyNumberFormat="1" applyFont="1"/>
    <xf numFmtId="176" fontId="3" fillId="0" borderId="0" xfId="0" applyNumberFormat="1" applyFont="1"/>
    <xf numFmtId="43" fontId="3" fillId="0" borderId="0" xfId="2" applyNumberFormat="1" applyFont="1" applyFill="1" applyAlignment="1"/>
    <xf numFmtId="10" fontId="7" fillId="0" borderId="0" xfId="3" applyNumberFormat="1" applyFont="1" applyFill="1" applyBorder="1" applyAlignment="1">
      <alignment horizontal="right"/>
    </xf>
    <xf numFmtId="180" fontId="3" fillId="0" borderId="0" xfId="2" applyNumberFormat="1" applyFont="1" applyFill="1" applyAlignment="1"/>
    <xf numFmtId="182" fontId="7" fillId="0" borderId="0" xfId="2" applyNumberFormat="1" applyFont="1" applyFill="1" applyBorder="1" applyAlignment="1">
      <alignment horizontal="right"/>
    </xf>
    <xf numFmtId="176" fontId="7" fillId="0" borderId="0" xfId="2" applyFont="1" applyFill="1" applyAlignment="1">
      <alignment horizontal="center"/>
    </xf>
    <xf numFmtId="180" fontId="7" fillId="0" borderId="0" xfId="2" applyNumberFormat="1" applyFont="1" applyFill="1" applyAlignment="1"/>
    <xf numFmtId="176" fontId="7" fillId="0" borderId="0" xfId="2" applyFont="1" applyFill="1" applyAlignment="1"/>
    <xf numFmtId="0" fontId="22" fillId="0" borderId="0" xfId="0" applyFont="1"/>
    <xf numFmtId="0" fontId="23" fillId="0" borderId="5" xfId="81" applyFont="1" applyBorder="1" applyAlignment="1">
      <alignment vertical="center"/>
    </xf>
    <xf numFmtId="0" fontId="23" fillId="0" borderId="6" xfId="82" applyFont="1" applyBorder="1" applyAlignment="1">
      <alignment horizontal="center"/>
    </xf>
    <xf numFmtId="0" fontId="24" fillId="0" borderId="0" xfId="0" applyFont="1"/>
    <xf numFmtId="0" fontId="23" fillId="0" borderId="7" xfId="81" applyFont="1" applyBorder="1" applyAlignment="1">
      <alignment vertical="center"/>
    </xf>
    <xf numFmtId="0" fontId="23" fillId="0" borderId="8" xfId="82" applyFont="1" applyBorder="1" applyAlignment="1">
      <alignment horizontal="center"/>
    </xf>
    <xf numFmtId="0" fontId="25" fillId="0" borderId="7" xfId="81" applyFont="1" applyBorder="1" applyAlignment="1">
      <alignment vertical="center"/>
    </xf>
    <xf numFmtId="0" fontId="25" fillId="0" borderId="8" xfId="81" applyFont="1" applyBorder="1" applyAlignment="1">
      <alignment horizontal="center" vertical="center"/>
    </xf>
    <xf numFmtId="0" fontId="23" fillId="0" borderId="7" xfId="81" applyFont="1" applyBorder="1"/>
    <xf numFmtId="0" fontId="25" fillId="3" borderId="8" xfId="81" applyFont="1" applyFill="1" applyBorder="1" applyAlignment="1">
      <alignment horizontal="center" vertical="center"/>
    </xf>
    <xf numFmtId="0" fontId="25" fillId="4" borderId="8" xfId="81" applyFont="1" applyFill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3" fillId="0" borderId="9" xfId="81" applyFont="1" applyBorder="1" applyAlignment="1">
      <alignment vertical="center"/>
    </xf>
    <xf numFmtId="0" fontId="25" fillId="0" borderId="10" xfId="81" applyFont="1" applyBorder="1" applyAlignment="1">
      <alignment horizontal="center" vertical="center"/>
    </xf>
    <xf numFmtId="14" fontId="22" fillId="0" borderId="0" xfId="0" applyNumberFormat="1" applyFont="1"/>
    <xf numFmtId="0" fontId="28" fillId="0" borderId="0" xfId="0" applyFont="1"/>
    <xf numFmtId="0" fontId="29" fillId="0" borderId="0" xfId="0" applyFont="1"/>
    <xf numFmtId="14" fontId="29" fillId="0" borderId="0" xfId="0" applyNumberFormat="1" applyFont="1"/>
    <xf numFmtId="176" fontId="3" fillId="0" borderId="0" xfId="47" quotePrefix="1" applyNumberFormat="1" applyFont="1" applyAlignment="1">
      <alignment wrapText="1"/>
    </xf>
    <xf numFmtId="176" fontId="3" fillId="0" borderId="0" xfId="47" quotePrefix="1" applyNumberFormat="1" applyFont="1"/>
    <xf numFmtId="0" fontId="3" fillId="0" borderId="0" xfId="47" quotePrefix="1" applyFont="1" applyAlignment="1">
      <alignment wrapText="1"/>
    </xf>
    <xf numFmtId="0" fontId="7" fillId="0" borderId="0" xfId="47" quotePrefix="1" applyFont="1" applyAlignment="1">
      <alignment wrapText="1"/>
    </xf>
    <xf numFmtId="0" fontId="3" fillId="0" borderId="0" xfId="47" quotePrefix="1" applyFont="1"/>
    <xf numFmtId="0" fontId="13" fillId="0" borderId="0" xfId="47" quotePrefix="1" applyFont="1" applyAlignment="1">
      <alignment wrapText="1"/>
    </xf>
    <xf numFmtId="9" fontId="57" fillId="0" borderId="0" xfId="0" applyNumberFormat="1" applyFont="1"/>
    <xf numFmtId="0" fontId="58" fillId="0" borderId="0" xfId="0" applyFont="1"/>
    <xf numFmtId="179" fontId="59" fillId="0" borderId="0" xfId="3" applyNumberFormat="1" applyFont="1" applyFill="1" applyAlignment="1">
      <alignment horizontal="right"/>
    </xf>
    <xf numFmtId="176" fontId="3" fillId="27" borderId="0" xfId="47" applyNumberFormat="1" applyFont="1" applyFill="1" applyAlignment="1">
      <alignment horizontal="left"/>
    </xf>
    <xf numFmtId="176" fontId="3" fillId="27" borderId="0" xfId="2" applyFont="1" applyFill="1" applyBorder="1" applyAlignment="1"/>
    <xf numFmtId="0" fontId="7" fillId="27" borderId="0" xfId="0" applyFont="1" applyFill="1" applyAlignment="1">
      <alignment horizontal="left" shrinkToFit="1"/>
    </xf>
    <xf numFmtId="185" fontId="7" fillId="27" borderId="0" xfId="2" applyNumberFormat="1" applyFont="1" applyFill="1" applyAlignment="1"/>
    <xf numFmtId="0" fontId="54" fillId="28" borderId="0" xfId="0" applyFont="1" applyFill="1" applyAlignment="1">
      <alignment horizontal="left" shrinkToFit="1"/>
    </xf>
    <xf numFmtId="186" fontId="7" fillId="28" borderId="0" xfId="2" applyNumberFormat="1" applyFont="1" applyFill="1" applyAlignment="1"/>
    <xf numFmtId="41" fontId="3" fillId="0" borderId="0" xfId="2" applyNumberFormat="1" applyFont="1" applyFill="1" applyBorder="1" applyAlignment="1">
      <alignment horizontal="right"/>
    </xf>
    <xf numFmtId="10" fontId="7" fillId="0" borderId="0" xfId="3" applyNumberFormat="1" applyFont="1" applyFill="1" applyBorder="1"/>
    <xf numFmtId="177" fontId="62" fillId="0" borderId="0" xfId="2" applyNumberFormat="1" applyFont="1" applyFill="1" applyAlignment="1">
      <alignment horizontal="center"/>
    </xf>
    <xf numFmtId="176" fontId="62" fillId="0" borderId="0" xfId="47" applyNumberFormat="1" applyFont="1"/>
    <xf numFmtId="177" fontId="63" fillId="0" borderId="0" xfId="2" applyNumberFormat="1" applyFont="1" applyFill="1" applyAlignment="1">
      <alignment horizontal="center"/>
    </xf>
    <xf numFmtId="176" fontId="63" fillId="0" borderId="0" xfId="47" applyNumberFormat="1" applyFont="1"/>
    <xf numFmtId="176" fontId="64" fillId="0" borderId="0" xfId="47" applyNumberFormat="1" applyFont="1"/>
    <xf numFmtId="177" fontId="65" fillId="0" borderId="0" xfId="2" applyNumberFormat="1" applyFont="1" applyFill="1" applyAlignment="1">
      <alignment horizontal="center"/>
    </xf>
    <xf numFmtId="176" fontId="65" fillId="0" borderId="0" xfId="89" applyNumberFormat="1" applyFont="1" applyFill="1" applyAlignment="1">
      <alignment horizontal="right"/>
    </xf>
    <xf numFmtId="176" fontId="19" fillId="0" borderId="0" xfId="2" applyFont="1" applyFill="1"/>
    <xf numFmtId="177" fontId="59" fillId="0" borderId="0" xfId="2" applyNumberFormat="1" applyFont="1" applyFill="1" applyBorder="1" applyAlignment="1">
      <alignment horizontal="right"/>
    </xf>
    <xf numFmtId="177" fontId="66" fillId="0" borderId="0" xfId="2" applyNumberFormat="1" applyFont="1" applyFill="1" applyBorder="1" applyAlignment="1">
      <alignment horizontal="right"/>
    </xf>
    <xf numFmtId="177" fontId="57" fillId="0" borderId="0" xfId="2" applyNumberFormat="1" applyFont="1" applyFill="1" applyBorder="1" applyAlignment="1">
      <alignment horizontal="right"/>
    </xf>
    <xf numFmtId="177" fontId="67" fillId="0" borderId="0" xfId="2" applyNumberFormat="1" applyFont="1" applyFill="1" applyAlignment="1">
      <alignment horizontal="center"/>
    </xf>
    <xf numFmtId="0" fontId="2" fillId="0" borderId="0" xfId="2" applyNumberFormat="1" applyFont="1" applyFill="1" applyAlignment="1">
      <alignment horizontal="left"/>
    </xf>
    <xf numFmtId="176" fontId="9" fillId="0" borderId="0" xfId="2" applyFont="1"/>
    <xf numFmtId="176" fontId="3" fillId="0" borderId="0" xfId="2" applyFont="1"/>
    <xf numFmtId="176" fontId="68" fillId="0" borderId="0" xfId="47" applyNumberFormat="1" applyFont="1"/>
    <xf numFmtId="176" fontId="68" fillId="0" borderId="0" xfId="47" applyNumberFormat="1" applyFont="1" applyAlignment="1">
      <alignment horizontal="center"/>
    </xf>
    <xf numFmtId="184" fontId="12" fillId="0" borderId="0" xfId="2" applyNumberFormat="1" applyFont="1" applyFill="1" applyAlignment="1">
      <alignment horizontal="right"/>
    </xf>
    <xf numFmtId="176" fontId="68" fillId="0" borderId="0" xfId="2" applyFont="1" applyFill="1" applyAlignment="1">
      <alignment horizontal="center"/>
    </xf>
    <xf numFmtId="0" fontId="3" fillId="0" borderId="0" xfId="47" applyFont="1" applyAlignment="1">
      <alignment horizontal="center" vertical="center"/>
    </xf>
    <xf numFmtId="0" fontId="3" fillId="0" borderId="0" xfId="2" applyNumberFormat="1" applyFont="1" applyFill="1" applyAlignment="1">
      <alignment horizontal="center" vertical="center"/>
    </xf>
    <xf numFmtId="0" fontId="18" fillId="0" borderId="0" xfId="47" applyFont="1" applyAlignment="1">
      <alignment horizontal="center" vertical="center" shrinkToFit="1"/>
    </xf>
    <xf numFmtId="177" fontId="18" fillId="0" borderId="0" xfId="2" applyNumberFormat="1" applyFont="1" applyFill="1" applyAlignment="1">
      <alignment horizontal="center"/>
    </xf>
    <xf numFmtId="176" fontId="18" fillId="0" borderId="0" xfId="89" applyNumberFormat="1" applyFont="1" applyFill="1" applyAlignment="1">
      <alignment horizontal="right"/>
    </xf>
    <xf numFmtId="177" fontId="9" fillId="0" borderId="0" xfId="2" applyNumberFormat="1" applyFont="1" applyFill="1" applyAlignment="1">
      <alignment horizontal="center"/>
    </xf>
    <xf numFmtId="176" fontId="68" fillId="0" borderId="0" xfId="2" applyFont="1"/>
    <xf numFmtId="176" fontId="68" fillId="2" borderId="0" xfId="2" applyFont="1" applyFill="1" applyAlignment="1">
      <alignment horizontal="center"/>
    </xf>
    <xf numFmtId="176" fontId="1" fillId="0" borderId="0" xfId="2" applyFont="1" applyAlignment="1">
      <alignment horizontal="center" vertical="center"/>
    </xf>
    <xf numFmtId="176" fontId="1" fillId="0" borderId="0" xfId="2" applyFont="1"/>
    <xf numFmtId="176" fontId="7" fillId="0" borderId="0" xfId="2" applyFont="1"/>
    <xf numFmtId="10" fontId="3" fillId="0" borderId="0" xfId="3" applyNumberFormat="1" applyFont="1"/>
    <xf numFmtId="179" fontId="1" fillId="0" borderId="0" xfId="3" applyNumberFormat="1" applyFont="1"/>
    <xf numFmtId="0" fontId="69" fillId="0" borderId="0" xfId="0" applyFont="1" applyAlignment="1">
      <alignment horizontal="left"/>
    </xf>
    <xf numFmtId="0" fontId="69" fillId="0" borderId="0" xfId="0" applyFont="1"/>
    <xf numFmtId="10" fontId="3" fillId="2" borderId="0" xfId="3" applyNumberFormat="1" applyFont="1" applyFill="1" applyAlignment="1"/>
    <xf numFmtId="176" fontId="3" fillId="0" borderId="0" xfId="2" applyFont="1" applyAlignment="1">
      <alignment horizontal="center"/>
    </xf>
    <xf numFmtId="188" fontId="3" fillId="0" borderId="0" xfId="3" applyNumberFormat="1" applyFont="1" applyFill="1"/>
    <xf numFmtId="176" fontId="57" fillId="0" borderId="0" xfId="47" applyNumberFormat="1" applyFont="1"/>
    <xf numFmtId="41" fontId="57" fillId="0" borderId="0" xfId="47" applyNumberFormat="1" applyFont="1"/>
    <xf numFmtId="179" fontId="70" fillId="0" borderId="0" xfId="47" applyNumberFormat="1" applyFont="1"/>
    <xf numFmtId="2" fontId="7" fillId="0" borderId="0" xfId="47" applyNumberFormat="1" applyFont="1"/>
    <xf numFmtId="0" fontId="71" fillId="3" borderId="8" xfId="81" applyFont="1" applyFill="1" applyBorder="1" applyAlignment="1">
      <alignment horizontal="center" vertical="center"/>
    </xf>
    <xf numFmtId="184" fontId="7" fillId="0" borderId="0" xfId="0" applyNumberFormat="1" applyFont="1"/>
    <xf numFmtId="0" fontId="72" fillId="0" borderId="0" xfId="0" applyFont="1"/>
    <xf numFmtId="0" fontId="22" fillId="29" borderId="0" xfId="0" applyFont="1" applyFill="1"/>
    <xf numFmtId="176" fontId="68" fillId="2" borderId="0" xfId="47" applyNumberFormat="1" applyFont="1" applyFill="1" applyAlignment="1">
      <alignment horizontal="center"/>
    </xf>
    <xf numFmtId="176" fontId="68" fillId="2" borderId="0" xfId="2" applyFont="1" applyFill="1"/>
    <xf numFmtId="176" fontId="73" fillId="0" borderId="0" xfId="47" applyNumberFormat="1" applyFont="1" applyAlignment="1">
      <alignment horizontal="center"/>
    </xf>
    <xf numFmtId="176" fontId="74" fillId="2" borderId="0" xfId="47" applyNumberFormat="1" applyFont="1" applyFill="1" applyAlignment="1">
      <alignment horizontal="center"/>
    </xf>
    <xf numFmtId="176" fontId="58" fillId="0" borderId="2" xfId="2" applyFont="1" applyFill="1" applyBorder="1" applyAlignment="1"/>
    <xf numFmtId="176" fontId="70" fillId="0" borderId="0" xfId="47" applyNumberFormat="1" applyFont="1"/>
    <xf numFmtId="180" fontId="58" fillId="0" borderId="2" xfId="2" applyNumberFormat="1" applyFont="1" applyFill="1" applyBorder="1"/>
    <xf numFmtId="176" fontId="58" fillId="0" borderId="2" xfId="2" applyFont="1" applyFill="1" applyBorder="1"/>
    <xf numFmtId="176" fontId="57" fillId="0" borderId="0" xfId="47" applyNumberFormat="1" applyFont="1" applyAlignment="1">
      <alignment wrapText="1"/>
    </xf>
    <xf numFmtId="176" fontId="3" fillId="0" borderId="0" xfId="121" applyNumberFormat="1" applyFont="1"/>
    <xf numFmtId="43" fontId="57" fillId="0" borderId="0" xfId="2" applyNumberFormat="1" applyFont="1" applyFill="1" applyBorder="1" applyAlignment="1">
      <alignment horizontal="right"/>
    </xf>
    <xf numFmtId="176" fontId="53" fillId="0" borderId="0" xfId="121" applyNumberFormat="1" applyFont="1"/>
    <xf numFmtId="176" fontId="57" fillId="0" borderId="0" xfId="47" applyNumberFormat="1" applyFont="1" applyAlignment="1">
      <alignment horizontal="left"/>
    </xf>
    <xf numFmtId="176" fontId="57" fillId="0" borderId="0" xfId="121" applyNumberFormat="1" applyFont="1"/>
    <xf numFmtId="176" fontId="83" fillId="0" borderId="0" xfId="47" applyNumberFormat="1" applyFont="1"/>
    <xf numFmtId="176" fontId="83" fillId="0" borderId="0" xfId="47" applyNumberFormat="1" applyFont="1" applyAlignment="1">
      <alignment horizontal="center"/>
    </xf>
    <xf numFmtId="177" fontId="83" fillId="0" borderId="0" xfId="2" applyNumberFormat="1" applyFont="1" applyFill="1" applyAlignment="1">
      <alignment horizontal="center"/>
    </xf>
    <xf numFmtId="41" fontId="83" fillId="0" borderId="0" xfId="47" applyNumberFormat="1" applyFont="1"/>
    <xf numFmtId="176" fontId="84" fillId="0" borderId="0" xfId="47" applyNumberFormat="1" applyFont="1" applyAlignment="1">
      <alignment horizontal="center"/>
    </xf>
    <xf numFmtId="176" fontId="85" fillId="0" borderId="0" xfId="47" applyNumberFormat="1" applyFont="1"/>
    <xf numFmtId="176" fontId="86" fillId="0" borderId="0" xfId="47" applyNumberFormat="1" applyFont="1" applyAlignment="1">
      <alignment horizontal="center"/>
    </xf>
    <xf numFmtId="177" fontId="85" fillId="0" borderId="0" xfId="2" applyNumberFormat="1" applyFont="1" applyFill="1" applyAlignment="1">
      <alignment horizontal="center"/>
    </xf>
    <xf numFmtId="41" fontId="85" fillId="0" borderId="0" xfId="47" applyNumberFormat="1" applyFont="1"/>
    <xf numFmtId="176" fontId="84" fillId="2" borderId="0" xfId="47" applyNumberFormat="1" applyFont="1" applyFill="1" applyAlignment="1">
      <alignment horizontal="center"/>
    </xf>
    <xf numFmtId="176" fontId="67" fillId="2" borderId="0" xfId="47" applyNumberFormat="1" applyFont="1" applyFill="1" applyAlignment="1">
      <alignment horizontal="center"/>
    </xf>
    <xf numFmtId="179" fontId="18" fillId="0" borderId="0" xfId="47" applyNumberFormat="1" applyFont="1"/>
    <xf numFmtId="0" fontId="3" fillId="0" borderId="0" xfId="47" applyFont="1" applyAlignment="1">
      <alignment horizontal="left" vertical="center"/>
    </xf>
    <xf numFmtId="179" fontId="3" fillId="0" borderId="0" xfId="3" applyNumberFormat="1" applyFont="1" applyAlignment="1">
      <alignment horizontal="right" vertical="center"/>
    </xf>
    <xf numFmtId="179" fontId="3" fillId="0" borderId="0" xfId="3" applyNumberFormat="1" applyFont="1" applyAlignment="1">
      <alignment horizontal="right"/>
    </xf>
    <xf numFmtId="176" fontId="87" fillId="0" borderId="0" xfId="47" applyNumberFormat="1" applyFont="1"/>
    <xf numFmtId="179" fontId="57" fillId="0" borderId="0" xfId="3" applyNumberFormat="1" applyFont="1" applyAlignment="1">
      <alignment horizontal="right"/>
    </xf>
    <xf numFmtId="43" fontId="88" fillId="0" borderId="0" xfId="0" applyNumberFormat="1" applyFont="1" applyAlignment="1">
      <alignment horizontal="right"/>
    </xf>
    <xf numFmtId="176" fontId="88" fillId="0" borderId="0" xfId="0" applyNumberFormat="1" applyFont="1"/>
    <xf numFmtId="41" fontId="70" fillId="0" borderId="0" xfId="47" applyNumberFormat="1" applyFont="1"/>
    <xf numFmtId="176" fontId="91" fillId="0" borderId="0" xfId="0" applyNumberFormat="1" applyFont="1"/>
    <xf numFmtId="176" fontId="58" fillId="0" borderId="2" xfId="47" applyNumberFormat="1" applyFont="1" applyBorder="1"/>
    <xf numFmtId="176" fontId="53" fillId="0" borderId="0" xfId="47" applyNumberFormat="1" applyFont="1"/>
    <xf numFmtId="176" fontId="86" fillId="0" borderId="0" xfId="121" applyNumberFormat="1" applyFont="1"/>
    <xf numFmtId="43" fontId="3" fillId="0" borderId="0" xfId="124" applyFont="1" applyFill="1" applyBorder="1" applyAlignment="1">
      <alignment horizontal="right"/>
    </xf>
    <xf numFmtId="176" fontId="18" fillId="0" borderId="0" xfId="2" applyFont="1" applyFill="1"/>
    <xf numFmtId="41" fontId="18" fillId="0" borderId="0" xfId="47" applyNumberFormat="1" applyFont="1"/>
    <xf numFmtId="176" fontId="75" fillId="0" borderId="0" xfId="47" applyNumberFormat="1" applyFont="1"/>
    <xf numFmtId="44" fontId="69" fillId="0" borderId="0" xfId="0" applyNumberFormat="1" applyFont="1" applyAlignment="1">
      <alignment horizontal="left"/>
    </xf>
    <xf numFmtId="176" fontId="53" fillId="0" borderId="0" xfId="121" applyNumberFormat="1" applyFont="1" applyAlignment="1">
      <alignment horizontal="center" wrapText="1"/>
    </xf>
    <xf numFmtId="0" fontId="54" fillId="27" borderId="0" xfId="0" applyFont="1" applyFill="1" applyAlignment="1">
      <alignment horizontal="left" shrinkToFit="1"/>
    </xf>
    <xf numFmtId="176" fontId="69" fillId="0" borderId="0" xfId="0" applyNumberFormat="1" applyFont="1"/>
    <xf numFmtId="187" fontId="7" fillId="0" borderId="2" xfId="2" applyNumberFormat="1" applyFont="1" applyFill="1" applyBorder="1" applyAlignment="1"/>
    <xf numFmtId="176" fontId="66" fillId="0" borderId="0" xfId="47" applyNumberFormat="1" applyFont="1" applyAlignment="1">
      <alignment horizontal="left"/>
    </xf>
    <xf numFmtId="44" fontId="97" fillId="0" borderId="0" xfId="0" applyNumberFormat="1" applyFont="1" applyAlignment="1">
      <alignment horizontal="left"/>
    </xf>
    <xf numFmtId="0" fontId="98" fillId="0" borderId="0" xfId="0" applyFont="1"/>
    <xf numFmtId="186" fontId="85" fillId="28" borderId="0" xfId="2" applyNumberFormat="1" applyFont="1" applyFill="1" applyAlignment="1"/>
    <xf numFmtId="185" fontId="85" fillId="27" borderId="0" xfId="2" applyNumberFormat="1" applyFont="1" applyFill="1" applyAlignment="1"/>
    <xf numFmtId="176" fontId="85" fillId="0" borderId="0" xfId="2" applyFont="1" applyFill="1" applyAlignment="1">
      <alignment horizontal="center"/>
    </xf>
    <xf numFmtId="0" fontId="83" fillId="0" borderId="0" xfId="0" applyFont="1" applyAlignment="1">
      <alignment horizontal="center"/>
    </xf>
    <xf numFmtId="10" fontId="3" fillId="0" borderId="0" xfId="2" applyNumberFormat="1" applyFont="1" applyFill="1" applyAlignment="1"/>
    <xf numFmtId="176" fontId="7" fillId="2" borderId="2" xfId="2" applyFont="1" applyFill="1" applyBorder="1" applyAlignment="1"/>
    <xf numFmtId="176" fontId="7" fillId="0" borderId="0" xfId="47" applyNumberFormat="1" applyFont="1" applyAlignment="1">
      <alignment horizontal="right"/>
    </xf>
    <xf numFmtId="176" fontId="99" fillId="0" borderId="0" xfId="47" applyNumberFormat="1" applyFont="1" applyAlignment="1">
      <alignment horizontal="right"/>
    </xf>
    <xf numFmtId="10" fontId="2" fillId="0" borderId="0" xfId="2" applyNumberFormat="1" applyFont="1" applyFill="1" applyAlignment="1">
      <alignment vertical="center"/>
    </xf>
    <xf numFmtId="10" fontId="2" fillId="0" borderId="0" xfId="2" applyNumberFormat="1" applyFont="1" applyFill="1" applyAlignment="1">
      <alignment horizontal="center"/>
    </xf>
    <xf numFmtId="189" fontId="3" fillId="0" borderId="0" xfId="2" applyNumberFormat="1" applyFont="1" applyFill="1" applyBorder="1" applyAlignment="1">
      <alignment horizontal="right"/>
    </xf>
    <xf numFmtId="190" fontId="1" fillId="0" borderId="0" xfId="47" applyNumberFormat="1" applyFont="1" applyAlignment="1">
      <alignment horizontal="center"/>
    </xf>
    <xf numFmtId="190" fontId="1" fillId="0" borderId="0" xfId="2" applyNumberFormat="1" applyFont="1" applyFill="1" applyAlignment="1">
      <alignment horizontal="center"/>
    </xf>
    <xf numFmtId="190" fontId="1" fillId="0" borderId="0" xfId="47" applyNumberFormat="1" applyFont="1"/>
    <xf numFmtId="176" fontId="87" fillId="0" borderId="0" xfId="2" applyFont="1"/>
    <xf numFmtId="176" fontId="7" fillId="30" borderId="2" xfId="2" applyFont="1" applyFill="1" applyBorder="1" applyAlignment="1">
      <alignment horizontal="right"/>
    </xf>
    <xf numFmtId="179" fontId="68" fillId="0" borderId="0" xfId="3" applyNumberFormat="1" applyFont="1" applyFill="1" applyAlignment="1">
      <alignment horizontal="center"/>
    </xf>
    <xf numFmtId="176" fontId="58" fillId="0" borderId="0" xfId="47" applyNumberFormat="1" applyFont="1"/>
    <xf numFmtId="10" fontId="7" fillId="0" borderId="0" xfId="0" applyNumberFormat="1" applyFont="1"/>
    <xf numFmtId="182" fontId="3" fillId="0" borderId="0" xfId="2" applyNumberFormat="1" applyFont="1" applyFill="1" applyBorder="1" applyAlignment="1">
      <alignment horizontal="right"/>
    </xf>
    <xf numFmtId="0" fontId="102" fillId="0" borderId="0" xfId="46" applyFont="1" applyAlignment="1">
      <alignment horizontal="left" shrinkToFit="1"/>
    </xf>
    <xf numFmtId="0" fontId="92" fillId="0" borderId="0" xfId="46" applyFont="1" applyAlignment="1">
      <alignment horizontal="left" shrinkToFit="1"/>
    </xf>
    <xf numFmtId="43" fontId="103" fillId="0" borderId="0" xfId="0" applyNumberFormat="1" applyFont="1" applyAlignment="1">
      <alignment horizontal="right"/>
    </xf>
    <xf numFmtId="43" fontId="104" fillId="0" borderId="0" xfId="0" applyNumberFormat="1" applyFont="1" applyAlignment="1">
      <alignment horizontal="right"/>
    </xf>
    <xf numFmtId="176" fontId="103" fillId="0" borderId="0" xfId="0" applyNumberFormat="1" applyFont="1"/>
    <xf numFmtId="176" fontId="104" fillId="0" borderId="0" xfId="0" applyNumberFormat="1" applyFont="1"/>
    <xf numFmtId="176" fontId="53" fillId="0" borderId="0" xfId="121" applyNumberFormat="1" applyFont="1" applyAlignment="1">
      <alignment horizontal="left" vertical="top"/>
    </xf>
    <xf numFmtId="10" fontId="7" fillId="0" borderId="0" xfId="47" applyNumberFormat="1" applyFont="1"/>
    <xf numFmtId="176" fontId="100" fillId="0" borderId="0" xfId="47" applyNumberFormat="1" applyFont="1"/>
    <xf numFmtId="177" fontId="6" fillId="0" borderId="0" xfId="2" applyNumberFormat="1" applyFont="1" applyFill="1" applyAlignment="1">
      <alignment horizontal="center"/>
    </xf>
    <xf numFmtId="176" fontId="6" fillId="0" borderId="0" xfId="47" applyNumberFormat="1" applyFont="1" applyAlignment="1">
      <alignment horizontal="center"/>
    </xf>
    <xf numFmtId="185" fontId="3" fillId="0" borderId="0" xfId="2" applyNumberFormat="1" applyFont="1" applyFill="1" applyAlignment="1">
      <alignment horizontal="center"/>
    </xf>
    <xf numFmtId="191" fontId="3" fillId="0" borderId="0" xfId="2" applyNumberFormat="1" applyFont="1" applyFill="1" applyBorder="1" applyAlignment="1"/>
    <xf numFmtId="191" fontId="3" fillId="0" borderId="0" xfId="2" applyNumberFormat="1" applyFont="1" applyFill="1"/>
    <xf numFmtId="189" fontId="7" fillId="0" borderId="0" xfId="2" applyNumberFormat="1" applyFont="1" applyFill="1" applyBorder="1" applyAlignment="1"/>
    <xf numFmtId="180" fontId="3" fillId="0" borderId="0" xfId="47" applyNumberFormat="1" applyFont="1"/>
    <xf numFmtId="180" fontId="9" fillId="0" borderId="0" xfId="47" applyNumberFormat="1" applyFont="1"/>
    <xf numFmtId="0" fontId="105" fillId="0" borderId="0" xfId="46" applyFont="1" applyAlignment="1">
      <alignment horizontal="left" shrinkToFit="1"/>
    </xf>
    <xf numFmtId="176" fontId="1" fillId="0" borderId="0" xfId="2" applyFont="1" applyFill="1" applyAlignment="1">
      <alignment horizontal="center"/>
    </xf>
    <xf numFmtId="176" fontId="14" fillId="2" borderId="0" xfId="47" applyNumberFormat="1" applyFont="1" applyFill="1" applyAlignment="1">
      <alignment horizontal="center"/>
    </xf>
    <xf numFmtId="177" fontId="1" fillId="2" borderId="0" xfId="2" applyNumberFormat="1" applyFont="1" applyFill="1" applyAlignment="1">
      <alignment horizontal="center"/>
    </xf>
    <xf numFmtId="176" fontId="1" fillId="2" borderId="0" xfId="47" applyNumberFormat="1" applyFont="1" applyFill="1"/>
    <xf numFmtId="176" fontId="1" fillId="29" borderId="0" xfId="2" applyFont="1" applyFill="1" applyAlignment="1">
      <alignment horizontal="center"/>
    </xf>
    <xf numFmtId="176" fontId="1" fillId="29" borderId="0" xfId="2" applyFont="1" applyFill="1"/>
    <xf numFmtId="44" fontId="3" fillId="0" borderId="0" xfId="0" applyNumberFormat="1" applyFont="1"/>
    <xf numFmtId="176" fontId="3" fillId="2" borderId="0" xfId="47" applyNumberFormat="1" applyFont="1" applyFill="1"/>
    <xf numFmtId="176" fontId="89" fillId="0" borderId="0" xfId="47" applyNumberFormat="1" applyFont="1"/>
    <xf numFmtId="41" fontId="90" fillId="0" borderId="0" xfId="47" applyNumberFormat="1" applyFont="1"/>
    <xf numFmtId="179" fontId="90" fillId="0" borderId="0" xfId="47" applyNumberFormat="1" applyFont="1"/>
    <xf numFmtId="176" fontId="90" fillId="0" borderId="0" xfId="47" applyNumberFormat="1" applyFont="1"/>
    <xf numFmtId="176" fontId="99" fillId="0" borderId="0" xfId="2" applyFont="1"/>
    <xf numFmtId="176" fontId="12" fillId="0" borderId="0" xfId="2" applyFont="1" applyFill="1" applyAlignment="1">
      <alignment horizontal="center"/>
    </xf>
    <xf numFmtId="176" fontId="99" fillId="0" borderId="0" xfId="47" applyNumberFormat="1" applyFont="1"/>
    <xf numFmtId="176" fontId="12" fillId="0" borderId="0" xfId="47" applyNumberFormat="1" applyFont="1"/>
    <xf numFmtId="176" fontId="58" fillId="0" borderId="0" xfId="2" applyFont="1"/>
    <xf numFmtId="43" fontId="103" fillId="0" borderId="0" xfId="0" applyNumberFormat="1" applyFont="1" applyFill="1" applyAlignment="1">
      <alignment horizontal="right"/>
    </xf>
    <xf numFmtId="176" fontId="103" fillId="0" borderId="0" xfId="0" applyNumberFormat="1" applyFont="1" applyFill="1"/>
    <xf numFmtId="0" fontId="3" fillId="0" borderId="0" xfId="2" applyNumberFormat="1" applyFont="1" applyFill="1" applyAlignment="1">
      <alignment horizontal="right"/>
    </xf>
    <xf numFmtId="192" fontId="3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 applyAlignment="1">
      <alignment horizontal="right"/>
    </xf>
    <xf numFmtId="192" fontId="7" fillId="0" borderId="0" xfId="2" applyNumberFormat="1" applyFont="1" applyFill="1" applyBorder="1" applyAlignment="1">
      <alignment horizontal="right"/>
    </xf>
  </cellXfs>
  <cellStyles count="126">
    <cellStyle name="20% - Accent1 2" xfId="19"/>
    <cellStyle name="20% - Accent2 2" xfId="13"/>
    <cellStyle name="20% - Accent3 2" xfId="14"/>
    <cellStyle name="20% - Accent4 2" xfId="25"/>
    <cellStyle name="20% - Accent5 2" xfId="12"/>
    <cellStyle name="20% - Accent6 2" xfId="17"/>
    <cellStyle name="40% - Accent1 2" xfId="5"/>
    <cellStyle name="40% - Accent2 2" xfId="20"/>
    <cellStyle name="40% - Accent3 2" xfId="18"/>
    <cellStyle name="40% - Accent4 2" xfId="26"/>
    <cellStyle name="40% - Accent5 2" xfId="7"/>
    <cellStyle name="40% - Accent6 2" xfId="9"/>
    <cellStyle name="60% - Accent1 2" xfId="11"/>
    <cellStyle name="60% - Accent2 2" xfId="16"/>
    <cellStyle name="60% - Accent3 2" xfId="22"/>
    <cellStyle name="60% - Accent4 2" xfId="27"/>
    <cellStyle name="60% - Accent5 2" xfId="28"/>
    <cellStyle name="60% - Accent6 2" xfId="29"/>
    <cellStyle name="Accent1 2" xfId="30"/>
    <cellStyle name="Accent2 2" xfId="31"/>
    <cellStyle name="Accent3 2" xfId="32"/>
    <cellStyle name="Accent4 2" xfId="33"/>
    <cellStyle name="Accent5 2" xfId="34"/>
    <cellStyle name="Accent6 2" xfId="10"/>
    <cellStyle name="Bad 2" xfId="35"/>
    <cellStyle name="Calculation 2" xfId="36"/>
    <cellStyle name="Check Cell 2" xfId="37"/>
    <cellStyle name="Comma 15" xfId="38"/>
    <cellStyle name="Comma 2" xfId="6"/>
    <cellStyle name="Comma 2 2" xfId="120"/>
    <cellStyle name="Explanatory Text 2" xfId="39"/>
    <cellStyle name="Good 2" xfId="40"/>
    <cellStyle name="Heading 1 2" xfId="41"/>
    <cellStyle name="Heading 2 2" xfId="42"/>
    <cellStyle name="Heading 3 2" xfId="21"/>
    <cellStyle name="Heading 4 2" xfId="43"/>
    <cellStyle name="Input 2" xfId="1"/>
    <cellStyle name="Linked Cell 2" xfId="44"/>
    <cellStyle name="Neutral 2" xfId="45"/>
    <cellStyle name="Normal 2" xfId="46"/>
    <cellStyle name="Normal 2 2" xfId="47"/>
    <cellStyle name="Normal 2 2 2" xfId="48"/>
    <cellStyle name="Normal 2 2 3" xfId="121"/>
    <cellStyle name="Normal 2 3" xfId="49"/>
    <cellStyle name="Normal 3" xfId="50"/>
    <cellStyle name="Normal 3 2" xfId="51"/>
    <cellStyle name="Normal 3 2 2" xfId="122"/>
    <cellStyle name="Normal 3 3" xfId="52"/>
    <cellStyle name="Normal 3 3 2" xfId="53"/>
    <cellStyle name="Normal 4" xfId="54"/>
    <cellStyle name="Normal 4 2" xfId="55"/>
    <cellStyle name="Normal 4 3" xfId="56"/>
    <cellStyle name="Normal 5" xfId="57"/>
    <cellStyle name="Normal 5 2" xfId="58"/>
    <cellStyle name="Normal 6" xfId="59"/>
    <cellStyle name="Normal 6 10" xfId="60"/>
    <cellStyle name="Normal 6 11" xfId="61"/>
    <cellStyle name="Normal 6 12" xfId="62"/>
    <cellStyle name="Normal 6 13" xfId="63"/>
    <cellStyle name="Normal 6 14" xfId="64"/>
    <cellStyle name="Normal 6 15" xfId="66"/>
    <cellStyle name="Normal 6 16" xfId="68"/>
    <cellStyle name="Normal 6 17" xfId="70"/>
    <cellStyle name="Normal 6 18" xfId="72"/>
    <cellStyle name="Normal 6 19" xfId="74"/>
    <cellStyle name="Normal 6 2" xfId="75"/>
    <cellStyle name="Normal 6 20" xfId="65"/>
    <cellStyle name="Normal 6 21" xfId="67"/>
    <cellStyle name="Normal 6 22" xfId="69"/>
    <cellStyle name="Normal 6 23" xfId="71"/>
    <cellStyle name="Normal 6 24" xfId="73"/>
    <cellStyle name="Normal 6 3" xfId="76"/>
    <cellStyle name="Normal 6 4" xfId="77"/>
    <cellStyle name="Normal 6 5" xfId="24"/>
    <cellStyle name="Normal 6 6" xfId="78"/>
    <cellStyle name="Normal 6 7" xfId="4"/>
    <cellStyle name="Normal 6 8" xfId="79"/>
    <cellStyle name="Normal 6 9" xfId="8"/>
    <cellStyle name="Normal 7" xfId="80"/>
    <cellStyle name="Normal_BlueBook Hotel 2013 V12" xfId="81"/>
    <cellStyle name="Normal_FOS Hotel October 11-Draft" xfId="82"/>
    <cellStyle name="Note 2" xfId="83"/>
    <cellStyle name="Note 2 2" xfId="84"/>
    <cellStyle name="Note 3" xfId="86"/>
    <cellStyle name="Output 2" xfId="88"/>
    <cellStyle name="Percent 2" xfId="89"/>
    <cellStyle name="Percent 2 2" xfId="123"/>
    <cellStyle name="Title 2" xfId="91"/>
    <cellStyle name="Total 2" xfId="92"/>
    <cellStyle name="Warning Text 2" xfId="93"/>
    <cellStyle name="百分比" xfId="3" builtinId="5"/>
    <cellStyle name="百分比 2" xfId="119"/>
    <cellStyle name="標準_BS11" xfId="85"/>
    <cellStyle name="常规" xfId="0" builtinId="0"/>
    <cellStyle name="常规 2" xfId="117"/>
    <cellStyle name="常规 2 10" xfId="87"/>
    <cellStyle name="常规 2 11" xfId="94"/>
    <cellStyle name="常规 2 12" xfId="95"/>
    <cellStyle name="常规 2 13" xfId="96"/>
    <cellStyle name="常规 2 14" xfId="97"/>
    <cellStyle name="常规 2 15" xfId="99"/>
    <cellStyle name="常规 2 16" xfId="101"/>
    <cellStyle name="常规 2 17" xfId="103"/>
    <cellStyle name="常规 2 18" xfId="105"/>
    <cellStyle name="常规 2 19" xfId="107"/>
    <cellStyle name="常规 2 2" xfId="90"/>
    <cellStyle name="常规 2 20" xfId="98"/>
    <cellStyle name="常规 2 21" xfId="100"/>
    <cellStyle name="常规 2 22" xfId="102"/>
    <cellStyle name="常规 2 23" xfId="104"/>
    <cellStyle name="常规 2 24" xfId="106"/>
    <cellStyle name="常规 2 3" xfId="108"/>
    <cellStyle name="常规 2 4" xfId="109"/>
    <cellStyle name="常规 2 5" xfId="110"/>
    <cellStyle name="常规 2 6" xfId="111"/>
    <cellStyle name="常规 2 7" xfId="112"/>
    <cellStyle name="常规 2 8" xfId="113"/>
    <cellStyle name="常规 2 9" xfId="114"/>
    <cellStyle name="常规 4" xfId="23"/>
    <cellStyle name="千位分隔" xfId="2" builtinId="3"/>
    <cellStyle name="千位分隔 2" xfId="115"/>
    <cellStyle name="千位分隔 2 2" xfId="124"/>
    <cellStyle name="千位分隔 3" xfId="116"/>
    <cellStyle name="千位分隔 3 2" xfId="125"/>
    <cellStyle name="千位分隔 4" xfId="118"/>
    <cellStyle name="一般_COA-GL" xfId="15"/>
  </cellStyles>
  <dxfs count="0"/>
  <tableStyles count="0" defaultTableStyle="TableStyleMedium2" defaultPivotStyle="PivotStyleLight16"/>
  <colors>
    <mruColors>
      <color rgb="FFDCB9FF"/>
      <color rgb="FFFFCC00"/>
      <color rgb="FFFFCC66"/>
      <color rgb="FFFFCC99"/>
      <color rgb="FFCC99FF"/>
      <color rgb="FF5E5EFC"/>
      <color rgb="FF66FF33"/>
      <color rgb="FFCC66FF"/>
      <color rgb="FFD7C3F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inance\ADOF\Rolling%20Forecast\2018\2018008\Rolling%20Forecast%20Forma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inance\ADOF\Rolling%20Forecast\2018\2018009\Forecast%20Format%20201800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inance\ADOF\Month%20End\2018\2018008\DYTHZ%20P&amp;L%202018008-Hote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inance\ADOF%20Tainee\Month%20End\2018\2018002\DYTHZ%20P&amp;L%202018002-Hot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Version"/>
      <sheetName val="Parameter"/>
      <sheetName val="Summary"/>
      <sheetName val="Rooms Summary"/>
      <sheetName val="F&amp;B Summary"/>
      <sheetName val="OOD"/>
      <sheetName val="A&amp;G"/>
      <sheetName val="R&amp;M"/>
      <sheetName val="Utilities"/>
      <sheetName val="S&amp;M"/>
    </sheetNames>
    <sheetDataSet>
      <sheetData sheetId="0" refreshError="1"/>
      <sheetData sheetId="1" refreshError="1"/>
      <sheetData sheetId="2" refreshError="1"/>
      <sheetData sheetId="3">
        <row r="2">
          <cell r="C2" t="str">
            <v>The Diaoyutai Hotel Hangzhou</v>
          </cell>
        </row>
        <row r="5">
          <cell r="C5" t="str">
            <v>B31</v>
          </cell>
        </row>
        <row r="7">
          <cell r="C7">
            <v>2018009</v>
          </cell>
        </row>
        <row r="8">
          <cell r="C8" t="str">
            <v>2018</v>
          </cell>
        </row>
        <row r="15">
          <cell r="C15" t="str">
            <v>B</v>
          </cell>
        </row>
      </sheetData>
      <sheetData sheetId="4">
        <row r="4">
          <cell r="D4" t="str">
            <v>Hotel Profit &amp; Loss Monthly Report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Version"/>
      <sheetName val="Parameter"/>
      <sheetName val="Summary"/>
      <sheetName val="Rooms Summary"/>
      <sheetName val="Front Office"/>
      <sheetName val="HSKP"/>
      <sheetName val="Reservation"/>
      <sheetName val="ROOMS Admin"/>
      <sheetName val="F&amp;B Summary"/>
      <sheetName val="The Lounge"/>
      <sheetName val="Pinju"/>
      <sheetName val="Royal Court"/>
      <sheetName val="MP Cafe"/>
      <sheetName val="MP Dining"/>
      <sheetName val="Room Service"/>
      <sheetName val="Banquet"/>
      <sheetName val="Minibar"/>
      <sheetName val="STW "/>
      <sheetName val="Main Kitchen"/>
      <sheetName val="F&amp;B Admin"/>
      <sheetName val="OOD"/>
      <sheetName val="Health Club"/>
      <sheetName val="Telephone"/>
      <sheetName val="Transportation"/>
      <sheetName val="Guest Laundry"/>
      <sheetName val="BC"/>
      <sheetName val="DYT Galleria"/>
      <sheetName val="Apartment"/>
      <sheetName val="A&amp;G"/>
      <sheetName val="EO"/>
      <sheetName val="Finance"/>
      <sheetName val="HR"/>
      <sheetName val="Security"/>
      <sheetName val="IT"/>
      <sheetName val="R&amp;M"/>
      <sheetName val="Utilities"/>
      <sheetName val="S&amp;M"/>
      <sheetName val="Laundry"/>
      <sheetName val="Staff Canteen"/>
      <sheetName val="Fixed Charge"/>
    </sheetNames>
    <sheetDataSet>
      <sheetData sheetId="0"/>
      <sheetData sheetId="1"/>
      <sheetData sheetId="2"/>
      <sheetData sheetId="3">
        <row r="5">
          <cell r="C5" t="str">
            <v>B31</v>
          </cell>
        </row>
        <row r="7">
          <cell r="C7">
            <v>2018003</v>
          </cell>
        </row>
        <row r="15">
          <cell r="C15" t="str">
            <v>B</v>
          </cell>
        </row>
      </sheetData>
      <sheetData sheetId="4">
        <row r="3">
          <cell r="E3" t="str">
            <v>A</v>
          </cell>
        </row>
      </sheetData>
      <sheetData sheetId="5">
        <row r="12">
          <cell r="E12">
            <v>215352.95999999999</v>
          </cell>
        </row>
      </sheetData>
      <sheetData sheetId="6"/>
      <sheetData sheetId="7">
        <row r="69">
          <cell r="E69">
            <v>47876.89</v>
          </cell>
        </row>
      </sheetData>
      <sheetData sheetId="8"/>
      <sheetData sheetId="9"/>
      <sheetData sheetId="10">
        <row r="1">
          <cell r="E1">
            <v>2018001</v>
          </cell>
        </row>
      </sheetData>
      <sheetData sheetId="11">
        <row r="12">
          <cell r="E12">
            <v>264750.68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E1">
            <v>2018001</v>
          </cell>
        </row>
      </sheetData>
      <sheetData sheetId="23"/>
      <sheetData sheetId="24">
        <row r="13">
          <cell r="E13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">
          <cell r="E1">
            <v>2018001</v>
          </cell>
        </row>
      </sheetData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Version"/>
      <sheetName val="Parameter"/>
      <sheetName val="Check"/>
      <sheetName val="Summary"/>
      <sheetName val="Rooms Summary"/>
      <sheetName val="Rooms Per Rooms Sold"/>
      <sheetName val="Front Office"/>
      <sheetName val="HSKP"/>
      <sheetName val="Reservation"/>
      <sheetName val="Rooms Admin"/>
      <sheetName val="F&amp;B Summary"/>
      <sheetName val="F&amp;B Per Covers"/>
      <sheetName val="The Lounge"/>
      <sheetName val="Pinju"/>
      <sheetName val="Royal Court"/>
      <sheetName val="MP Cafe"/>
      <sheetName val="MP Dining"/>
      <sheetName val="Lobby Lounge"/>
      <sheetName val="Bar#1"/>
      <sheetName val="Room Service"/>
      <sheetName val="BQT"/>
      <sheetName val="BQT Statistic"/>
      <sheetName val="Minibar"/>
      <sheetName val="STW"/>
      <sheetName val="Main Kitchen"/>
      <sheetName val="F&amp;B Admin"/>
      <sheetName val="Recreation"/>
      <sheetName val="Health Club"/>
      <sheetName val="Pool"/>
      <sheetName val="Salon"/>
      <sheetName val="Kids Center"/>
      <sheetName val="SPA"/>
      <sheetName val="BC"/>
      <sheetName val="Telephone"/>
      <sheetName val="Transportation"/>
      <sheetName val="Garage"/>
      <sheetName val="Galleria"/>
      <sheetName val="Guest Laundry"/>
      <sheetName val="Apartment"/>
      <sheetName val="Other Income"/>
      <sheetName val="A&amp;G"/>
      <sheetName val="EO"/>
      <sheetName val="Finance"/>
      <sheetName val="HR"/>
      <sheetName val="Security"/>
      <sheetName val="IT"/>
      <sheetName val="R&amp;M"/>
      <sheetName val="Utilities"/>
      <sheetName val="S&amp;M"/>
      <sheetName val="PR"/>
      <sheetName val="ADV"/>
      <sheetName val="Sales"/>
      <sheetName val="Laundry"/>
      <sheetName val="Staff Canteen"/>
      <sheetName val="Dormitory&amp;Bus"/>
      <sheetName val="Fixed Charge"/>
      <sheetName val="BS"/>
    </sheetNames>
    <sheetDataSet>
      <sheetData sheetId="0"/>
      <sheetData sheetId="1"/>
      <sheetData sheetId="2"/>
      <sheetData sheetId="3">
        <row r="5">
          <cell r="C5" t="str">
            <v>B31</v>
          </cell>
        </row>
        <row r="6">
          <cell r="C6" t="str">
            <v>DHZ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_XLB_WorkbookFile"/>
      <sheetName val="Ls_AgXLB_WorkbookFile"/>
      <sheetName val="Version"/>
      <sheetName val="Parameter"/>
      <sheetName val="Check"/>
      <sheetName val="Summary"/>
      <sheetName val="Rooms Summary"/>
      <sheetName val="Front Office"/>
      <sheetName val="HSKP"/>
      <sheetName val="Reservation"/>
      <sheetName val="Rooms Admin"/>
      <sheetName val="F&amp;B Summary"/>
      <sheetName val="The Lounge"/>
      <sheetName val="Pinju"/>
      <sheetName val="Royal Court"/>
      <sheetName val="Cafe to go"/>
      <sheetName val="Casual Western Dining"/>
      <sheetName val="Lobby Lounge"/>
      <sheetName val="Bar#1"/>
      <sheetName val="Room Service"/>
      <sheetName val="BQT"/>
      <sheetName val="BQT Statistic"/>
      <sheetName val="Minibar"/>
      <sheetName val="STW"/>
      <sheetName val="Main Kitchen"/>
      <sheetName val="F&amp;B Admin"/>
      <sheetName val="Recreation"/>
      <sheetName val="Health Club"/>
      <sheetName val="Pool"/>
      <sheetName val="Salon"/>
      <sheetName val="Kids Center"/>
      <sheetName val="SPA"/>
      <sheetName val="BC"/>
      <sheetName val="Telephone"/>
      <sheetName val="Transportation"/>
      <sheetName val="Garage"/>
      <sheetName val="Retail#1"/>
      <sheetName val="Guest Laundry"/>
      <sheetName val="Apartment"/>
      <sheetName val="Other Income"/>
      <sheetName val="A&amp;G"/>
      <sheetName val="EO"/>
      <sheetName val="Finance"/>
      <sheetName val="HR"/>
      <sheetName val="Security"/>
      <sheetName val="IT"/>
      <sheetName val="R&amp;M"/>
      <sheetName val="Utilities"/>
      <sheetName val="S&amp;M"/>
      <sheetName val="PR"/>
      <sheetName val="ADV"/>
      <sheetName val="Sales"/>
      <sheetName val="Laundry"/>
      <sheetName val="Staff Canteen"/>
      <sheetName val="Dormitory&amp;Bus"/>
      <sheetName val="Fixed Charge"/>
      <sheetName val="BS"/>
    </sheetNames>
    <sheetDataSet>
      <sheetData sheetId="0"/>
      <sheetData sheetId="1"/>
      <sheetData sheetId="2"/>
      <sheetData sheetId="3">
        <row r="6">
          <cell r="C6" t="str">
            <v>DHZ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"/>
  <sheetViews>
    <sheetView workbookViewId="0"/>
  </sheetViews>
  <sheetFormatPr defaultColWidth="9" defaultRowHeight="14"/>
  <cols>
    <col min="1" max="1" width="9" customWidth="1"/>
  </cols>
  <sheetData/>
  <phoneticPr fontId="5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"/>
  <sheetViews>
    <sheetView workbookViewId="0"/>
  </sheetViews>
  <sheetFormatPr defaultColWidth="9" defaultRowHeight="14"/>
  <cols>
    <col min="1" max="1" width="9" customWidth="1"/>
  </cols>
  <sheetData/>
  <phoneticPr fontId="5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D1"/>
  <sheetViews>
    <sheetView workbookViewId="0">
      <selection activeCell="D6" sqref="D6"/>
    </sheetView>
  </sheetViews>
  <sheetFormatPr defaultColWidth="9" defaultRowHeight="14.5"/>
  <cols>
    <col min="1" max="1" width="4.453125" style="250" customWidth="1"/>
    <col min="2" max="2" width="7.453125" style="250" customWidth="1"/>
    <col min="3" max="3" width="7" style="250" customWidth="1"/>
    <col min="4" max="4" width="11.453125" style="250" customWidth="1"/>
    <col min="5" max="16384" width="9" style="250"/>
  </cols>
  <sheetData>
    <row r="1" spans="1:4">
      <c r="A1" s="250" t="s">
        <v>0</v>
      </c>
      <c r="B1" s="251">
        <v>43136</v>
      </c>
      <c r="C1" s="250" t="s">
        <v>1</v>
      </c>
      <c r="D1" s="250" t="s">
        <v>2</v>
      </c>
    </row>
  </sheetData>
  <phoneticPr fontId="5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N171"/>
  <sheetViews>
    <sheetView zoomScale="75" zoomScaleNormal="75" workbookViewId="0">
      <selection activeCell="C5" sqref="C5"/>
    </sheetView>
  </sheetViews>
  <sheetFormatPr defaultColWidth="8.90625" defaultRowHeight="14.5"/>
  <cols>
    <col min="1" max="1" width="9" style="233" customWidth="1"/>
    <col min="2" max="2" width="26.453125" style="233" customWidth="1"/>
    <col min="3" max="3" width="39.453125" style="233" customWidth="1"/>
    <col min="4" max="4" width="31" style="233" customWidth="1"/>
    <col min="5" max="5" width="13.453125" style="233" customWidth="1"/>
    <col min="6" max="15" width="23.453125" style="233" customWidth="1"/>
    <col min="16" max="16384" width="8.90625" style="233"/>
  </cols>
  <sheetData>
    <row r="2" spans="2:14" ht="21.75" customHeight="1">
      <c r="B2" s="234" t="s">
        <v>3</v>
      </c>
      <c r="C2" s="235" t="s">
        <v>1142</v>
      </c>
      <c r="E2" s="236"/>
      <c r="F2" s="312" t="s">
        <v>1147</v>
      </c>
      <c r="G2" s="312" t="s">
        <v>1149</v>
      </c>
      <c r="H2" s="312" t="s">
        <v>1150</v>
      </c>
    </row>
    <row r="3" spans="2:14" ht="21.75" customHeight="1">
      <c r="B3" s="237"/>
      <c r="C3" s="238"/>
      <c r="F3" s="233" t="s">
        <v>1148</v>
      </c>
      <c r="G3" s="233">
        <v>2025001</v>
      </c>
      <c r="H3" s="313">
        <v>2025001</v>
      </c>
    </row>
    <row r="4" spans="2:14" ht="21.75" customHeight="1">
      <c r="B4" s="239"/>
      <c r="C4" s="240"/>
      <c r="F4" s="233" t="s">
        <v>1151</v>
      </c>
      <c r="G4" s="233">
        <v>2025</v>
      </c>
      <c r="H4" s="313">
        <v>2025</v>
      </c>
      <c r="I4" s="312"/>
    </row>
    <row r="5" spans="2:14" ht="21.75" customHeight="1">
      <c r="B5" s="241" t="s">
        <v>4</v>
      </c>
      <c r="C5" s="310"/>
    </row>
    <row r="6" spans="2:14" ht="21.75" customHeight="1">
      <c r="B6" s="241"/>
      <c r="C6" s="240"/>
    </row>
    <row r="7" spans="2:14" ht="21.75" customHeight="1">
      <c r="B7" s="241" t="s">
        <v>5</v>
      </c>
      <c r="C7" s="242">
        <f>H3</f>
        <v>2025001</v>
      </c>
    </row>
    <row r="8" spans="2:14" ht="21.75" customHeight="1">
      <c r="B8" s="237" t="s">
        <v>6</v>
      </c>
      <c r="C8" s="243" t="str">
        <f>LEFT(CP,4)</f>
        <v>2025</v>
      </c>
      <c r="D8" s="244" t="s">
        <v>7</v>
      </c>
    </row>
    <row r="9" spans="2:14" ht="21.75" customHeight="1">
      <c r="B9" s="237" t="s">
        <v>8</v>
      </c>
      <c r="C9" s="243" t="str">
        <f>LEFT(CP,4)&amp;"001"</f>
        <v>2025001</v>
      </c>
      <c r="D9" s="244" t="s">
        <v>7</v>
      </c>
      <c r="N9" s="248"/>
    </row>
    <row r="10" spans="2:14" ht="21.75" customHeight="1">
      <c r="B10" s="237"/>
      <c r="C10" s="240"/>
      <c r="D10" s="245"/>
    </row>
    <row r="11" spans="2:14" ht="21.75" customHeight="1">
      <c r="B11" s="237" t="s">
        <v>9</v>
      </c>
      <c r="C11" s="243">
        <f>CP-1000</f>
        <v>2024001</v>
      </c>
      <c r="D11" s="244" t="s">
        <v>7</v>
      </c>
    </row>
    <row r="12" spans="2:14" ht="21.75" customHeight="1">
      <c r="B12" s="237"/>
      <c r="C12" s="240"/>
      <c r="D12" s="245"/>
    </row>
    <row r="13" spans="2:14" ht="21.75" customHeight="1">
      <c r="B13" s="237" t="s">
        <v>10</v>
      </c>
      <c r="C13" s="243">
        <f>C9-1000</f>
        <v>2024001</v>
      </c>
      <c r="D13" s="244" t="s">
        <v>7</v>
      </c>
    </row>
    <row r="14" spans="2:14" ht="21.75" customHeight="1">
      <c r="B14" s="237"/>
      <c r="C14" s="240"/>
    </row>
    <row r="15" spans="2:14" ht="21.75" customHeight="1">
      <c r="B15" s="237" t="s">
        <v>11</v>
      </c>
      <c r="C15" s="240" t="s">
        <v>12</v>
      </c>
    </row>
    <row r="16" spans="2:14" ht="21.75" customHeight="1">
      <c r="B16" s="246"/>
      <c r="C16" s="247"/>
    </row>
    <row r="17" spans="13:13" ht="20.25" customHeight="1"/>
    <row r="18" spans="13:13" ht="20.25" customHeight="1"/>
    <row r="19" spans="13:13" ht="20.25" customHeight="1"/>
    <row r="20" spans="13:13" ht="20.25" customHeight="1"/>
    <row r="21" spans="13:13" ht="20.25" customHeight="1"/>
    <row r="22" spans="13:13" ht="20.25" customHeight="1"/>
    <row r="23" spans="13:13" ht="20.25" customHeight="1"/>
    <row r="24" spans="13:13" ht="20.25" customHeight="1"/>
    <row r="25" spans="13:13" ht="20.25" customHeight="1">
      <c r="M25" s="249"/>
    </row>
    <row r="26" spans="13:13" ht="20.25" customHeight="1"/>
    <row r="27" spans="13:13" ht="20.25" customHeight="1"/>
    <row r="28" spans="13:13" ht="20.25" customHeight="1"/>
    <row r="29" spans="13:13" ht="20.25" customHeight="1"/>
    <row r="30" spans="13:13" ht="20.25" customHeight="1"/>
    <row r="31" spans="13:13" ht="20.25" customHeight="1"/>
    <row r="32" spans="13:13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</sheetData>
  <phoneticPr fontId="56" type="noConversion"/>
  <dataValidations count="2">
    <dataValidation type="textLength" errorStyle="information" allowBlank="1" showInputMessage="1" showErrorMessage="1" error="XLBVal:8=The Diaoyutai Hotel Hangzhou_x000d__x000a_" sqref="C2">
      <formula1>0</formula1>
      <formula2>300</formula2>
    </dataValidation>
    <dataValidation type="textLength" errorStyle="information" allowBlank="1" showInputMessage="1" showErrorMessage="1" error="XLBVal:8=杭州钓鱼台酒店_x000d__x000a_" sqref="C3">
      <formula1>0</formula1>
      <formula2>300</formula2>
    </dataValidation>
  </dataValidation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AB93"/>
  <sheetViews>
    <sheetView tabSelected="1" zoomScale="53" zoomScaleNormal="53" zoomScaleSheetLayoutView="44" workbookViewId="0">
      <pane xSplit="4" ySplit="10" topLeftCell="E11" activePane="bottomRight" state="frozen"/>
      <selection activeCell="D29" sqref="D29"/>
      <selection pane="topRight" activeCell="D29" sqref="D29"/>
      <selection pane="bottomLeft" activeCell="D29" sqref="D29"/>
      <selection pane="bottomRight" activeCell="M6" sqref="M6"/>
    </sheetView>
  </sheetViews>
  <sheetFormatPr defaultColWidth="9.08984375" defaultRowHeight="26.25" customHeight="1" outlineLevelRow="1" outlineLevelCol="1"/>
  <cols>
    <col min="1" max="2" width="15.453125" style="192" hidden="1" customWidth="1" outlineLevel="1"/>
    <col min="3" max="3" width="15.90625" style="192" hidden="1" customWidth="1" outlineLevel="1"/>
    <col min="4" max="4" width="61.90625" style="192" customWidth="1" collapsed="1"/>
    <col min="5" max="5" width="25" style="193" customWidth="1"/>
    <col min="6" max="6" width="24.90625" style="193" customWidth="1"/>
    <col min="7" max="7" width="23.7265625" style="193" customWidth="1"/>
    <col min="8" max="8" width="25" style="194" customWidth="1"/>
    <col min="9" max="9" width="22.7265625" style="194" customWidth="1"/>
    <col min="10" max="10" width="25.08984375" style="195" customWidth="1"/>
    <col min="11" max="11" width="24.6328125" style="195" customWidth="1"/>
    <col min="12" max="12" width="25" style="5" customWidth="1"/>
    <col min="13" max="13" width="24.6328125" style="195" customWidth="1"/>
    <col min="14" max="14" width="25" style="195" customWidth="1"/>
    <col min="15" max="15" width="24.08984375" style="195" customWidth="1"/>
    <col min="16" max="16" width="25.36328125" style="195" customWidth="1"/>
    <col min="17" max="17" width="31.453125" style="195" customWidth="1"/>
    <col min="18" max="18" width="3" style="195" hidden="1" customWidth="1"/>
    <col min="19" max="19" width="18.36328125" style="195" customWidth="1"/>
    <col min="20" max="20" width="23.08984375" style="297" customWidth="1"/>
    <col min="21" max="21" width="26.90625" style="297" customWidth="1"/>
    <col min="22" max="22" width="21.08984375" style="297" customWidth="1"/>
    <col min="23" max="23" width="26.90625" style="196" customWidth="1"/>
    <col min="24" max="24" width="23.90625" style="195" customWidth="1"/>
    <col min="25" max="25" width="26.453125" style="195" customWidth="1"/>
    <col min="26" max="26" width="23.90625" style="195" customWidth="1"/>
    <col min="27" max="28" width="11.08984375" style="195" customWidth="1"/>
    <col min="29" max="16384" width="9.08984375" style="195"/>
  </cols>
  <sheetData>
    <row r="1" spans="1:26" s="1" customFormat="1" ht="15" customHeight="1" outlineLevel="1">
      <c r="D1" s="197" t="s">
        <v>1129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T1" s="296"/>
      <c r="U1" s="296"/>
      <c r="V1" s="296"/>
      <c r="W1" s="167"/>
    </row>
    <row r="2" spans="1:26" s="1" customFormat="1" ht="38.5" hidden="1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T2" s="296"/>
      <c r="U2" s="296"/>
      <c r="V2" s="296"/>
      <c r="W2" s="167"/>
    </row>
    <row r="3" spans="1:26" s="1" customFormat="1" ht="38.5" hidden="1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12</v>
      </c>
      <c r="T3" s="296"/>
      <c r="U3" s="296"/>
      <c r="V3" s="296"/>
      <c r="W3" s="167"/>
    </row>
    <row r="4" spans="1:26" ht="25.4" customHeight="1" collapsed="1">
      <c r="A4" s="198"/>
      <c r="B4" s="198"/>
      <c r="C4" s="198"/>
      <c r="D4" s="199" t="s">
        <v>15</v>
      </c>
      <c r="F4" s="200"/>
      <c r="G4" s="200"/>
    </row>
    <row r="5" spans="1:26" ht="25.4" customHeight="1">
      <c r="A5" s="198"/>
      <c r="B5" s="198"/>
      <c r="C5" s="198"/>
      <c r="D5" s="201" t="s">
        <v>16</v>
      </c>
      <c r="F5" s="200"/>
      <c r="G5" s="200"/>
    </row>
    <row r="6" spans="1:26" ht="25.4" customHeight="1">
      <c r="A6" s="198"/>
      <c r="B6" s="198"/>
      <c r="C6" s="198"/>
      <c r="D6" s="199" t="s">
        <v>17</v>
      </c>
      <c r="E6" s="200"/>
      <c r="F6" s="200"/>
      <c r="G6" s="202"/>
      <c r="H6" s="202"/>
    </row>
    <row r="7" spans="1:26" ht="25.4" customHeight="1">
      <c r="D7" s="199">
        <f>Parameter!H4</f>
        <v>2025</v>
      </c>
    </row>
    <row r="8" spans="1:26" ht="25.4" hidden="1" customHeight="1">
      <c r="I8" s="219"/>
    </row>
    <row r="9" spans="1:26" s="190" customFormat="1" ht="25.4" customHeight="1">
      <c r="A9" s="203"/>
      <c r="B9" s="203"/>
      <c r="C9" s="204"/>
      <c r="D9" s="203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T9" s="297"/>
      <c r="U9" s="297"/>
      <c r="V9" s="304"/>
      <c r="W9" s="221"/>
    </row>
    <row r="10" spans="1:26" s="191" customFormat="1" ht="40.4" customHeight="1">
      <c r="A10" s="204" t="s">
        <v>18</v>
      </c>
      <c r="B10" s="204" t="s">
        <v>19</v>
      </c>
      <c r="C10" s="204"/>
      <c r="D10" s="177"/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21</v>
      </c>
      <c r="T10" s="297"/>
      <c r="U10" s="297"/>
      <c r="V10" s="304"/>
      <c r="W10" s="221"/>
    </row>
    <row r="11" spans="1:26" s="190" customFormat="1" ht="25.4" customHeight="1">
      <c r="A11" s="177" t="s">
        <v>25</v>
      </c>
      <c r="B11" s="177" t="s">
        <v>26</v>
      </c>
      <c r="C11" s="205"/>
      <c r="D11" s="177" t="s">
        <v>27</v>
      </c>
      <c r="E11" s="146">
        <f>'Rooms Summary'!E20</f>
        <v>3495421.6</v>
      </c>
      <c r="F11" s="146">
        <f>'Rooms Summary'!F20</f>
        <v>5888439.7000000002</v>
      </c>
      <c r="G11" s="146">
        <f>'Rooms Summary'!G20</f>
        <v>2564914</v>
      </c>
      <c r="H11" s="146">
        <f>'Rooms Summary'!H20</f>
        <v>2644855.4</v>
      </c>
      <c r="I11" s="146">
        <f>'Rooms Summary'!I20</f>
        <v>3714758.3</v>
      </c>
      <c r="J11" s="146">
        <f>'Rooms Summary'!J20</f>
        <v>2615673.5</v>
      </c>
      <c r="K11" s="146">
        <f>'Rooms Summary'!K20</f>
        <v>4363040</v>
      </c>
      <c r="L11" s="146">
        <f>'Rooms Summary'!L20</f>
        <v>4818913</v>
      </c>
      <c r="M11" s="146">
        <f>'Rooms Summary'!M20</f>
        <v>2524797</v>
      </c>
      <c r="N11" s="146">
        <f>'Rooms Summary'!N20</f>
        <v>4155790.1</v>
      </c>
      <c r="O11" s="146">
        <f>'Rooms Summary'!O20</f>
        <v>3252350.2</v>
      </c>
      <c r="P11" s="146">
        <f>'Rooms Summary'!P20</f>
        <v>3915791</v>
      </c>
      <c r="Q11" s="146">
        <f>SUM(E11:P11)</f>
        <v>43954743.800000004</v>
      </c>
      <c r="R11" s="146">
        <v>48895291.799999997</v>
      </c>
      <c r="S11" s="222">
        <f t="shared" ref="S11:S16" si="0">Q11/$Q$16</f>
        <v>0.55184699463442144</v>
      </c>
      <c r="T11" s="220"/>
      <c r="U11" s="220"/>
      <c r="V11" s="283"/>
      <c r="W11" s="40"/>
      <c r="Y11" s="220"/>
      <c r="Z11" s="223"/>
    </row>
    <row r="12" spans="1:26" s="190" customFormat="1" ht="25.4" customHeight="1">
      <c r="A12" s="177" t="s">
        <v>28</v>
      </c>
      <c r="B12" s="177" t="s">
        <v>29</v>
      </c>
      <c r="C12" s="205"/>
      <c r="D12" s="177" t="s">
        <v>30</v>
      </c>
      <c r="E12" s="146">
        <f>+'F&amp;B Summary'!E50</f>
        <v>2625339.6</v>
      </c>
      <c r="F12" s="146">
        <f>+'F&amp;B Summary'!F50</f>
        <v>1944737.8</v>
      </c>
      <c r="G12" s="146">
        <f>+'F&amp;B Summary'!G50</f>
        <v>2912613.6</v>
      </c>
      <c r="H12" s="146">
        <f>+'F&amp;B Summary'!H50</f>
        <v>2523722</v>
      </c>
      <c r="I12" s="146">
        <f>+'F&amp;B Summary'!I50</f>
        <v>3021363.6</v>
      </c>
      <c r="J12" s="146">
        <f>+'F&amp;B Summary'!J50</f>
        <v>2773652</v>
      </c>
      <c r="K12" s="146">
        <f>+'F&amp;B Summary'!K50</f>
        <v>2953527.6</v>
      </c>
      <c r="L12" s="146">
        <f>+'F&amp;B Summary'!L50</f>
        <v>2719027.6</v>
      </c>
      <c r="M12" s="146">
        <f>+'F&amp;B Summary'!M50</f>
        <v>2316272</v>
      </c>
      <c r="N12" s="146">
        <f>+'F&amp;B Summary'!N50</f>
        <v>4072247.6</v>
      </c>
      <c r="O12" s="146">
        <f>+'F&amp;B Summary'!O50</f>
        <v>3710342</v>
      </c>
      <c r="P12" s="146">
        <f>+'F&amp;B Summary'!P50</f>
        <v>3541547.6</v>
      </c>
      <c r="Q12" s="146">
        <f t="shared" ref="Q12:Q15" si="1">SUM(E12:P12)</f>
        <v>35114393</v>
      </c>
      <c r="R12" s="146">
        <v>39757380.901000001</v>
      </c>
      <c r="S12" s="222">
        <f t="shared" si="0"/>
        <v>0.44085735850568109</v>
      </c>
      <c r="T12" s="220"/>
      <c r="U12" s="220"/>
      <c r="V12" s="283"/>
      <c r="W12" s="40"/>
      <c r="Y12" s="220"/>
      <c r="Z12" s="223"/>
    </row>
    <row r="13" spans="1:26" s="190" customFormat="1" ht="25.4" customHeight="1">
      <c r="A13" s="177" t="s">
        <v>31</v>
      </c>
      <c r="B13" s="177" t="s">
        <v>32</v>
      </c>
      <c r="C13" s="205"/>
      <c r="D13" s="190" t="s">
        <v>33</v>
      </c>
      <c r="E13" s="146">
        <f>+SUM(OOD!E12:E26)</f>
        <v>17600</v>
      </c>
      <c r="F13" s="146">
        <f>+SUM(OOD!F12:F26)</f>
        <v>24500</v>
      </c>
      <c r="G13" s="146">
        <f>+SUM(OOD!G12:G26)</f>
        <v>29100</v>
      </c>
      <c r="H13" s="146">
        <f>+SUM(OOD!H12:H26)</f>
        <v>35100</v>
      </c>
      <c r="I13" s="146">
        <f>+SUM(OOD!I12:I26)</f>
        <v>43000</v>
      </c>
      <c r="J13" s="146">
        <f>+SUM(OOD!J12:J26)</f>
        <v>47100</v>
      </c>
      <c r="K13" s="146">
        <f>+SUM(OOD!K12:K26)</f>
        <v>54500</v>
      </c>
      <c r="L13" s="146">
        <f>+SUM(OOD!L12:L26)</f>
        <v>48500</v>
      </c>
      <c r="M13" s="146">
        <f>+SUM(OOD!M12:M26)</f>
        <v>59100</v>
      </c>
      <c r="N13" s="146">
        <f>+SUM(OOD!N12:N26)</f>
        <v>67000</v>
      </c>
      <c r="O13" s="146">
        <f>+SUM(OOD!O12:O26)</f>
        <v>78500</v>
      </c>
      <c r="P13" s="146">
        <f>+SUM(OOD!P12:P26)</f>
        <v>77100</v>
      </c>
      <c r="Q13" s="146">
        <f t="shared" si="1"/>
        <v>581100</v>
      </c>
      <c r="R13" s="146">
        <v>2231199.08</v>
      </c>
      <c r="S13" s="222">
        <f t="shared" si="0"/>
        <v>7.2956468598973446E-3</v>
      </c>
      <c r="T13" s="220"/>
      <c r="U13" s="220"/>
      <c r="V13" s="283"/>
      <c r="W13" s="40"/>
      <c r="Y13" s="220"/>
      <c r="Z13" s="223"/>
    </row>
    <row r="14" spans="1:26" s="190" customFormat="1" ht="25.4" customHeight="1">
      <c r="A14" s="177" t="s">
        <v>34</v>
      </c>
      <c r="B14" s="177" t="s">
        <v>35</v>
      </c>
      <c r="C14" s="205"/>
      <c r="D14" s="177" t="s">
        <v>36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>
        <f t="shared" si="1"/>
        <v>0</v>
      </c>
      <c r="R14" s="146">
        <v>0</v>
      </c>
      <c r="S14" s="222">
        <f t="shared" si="0"/>
        <v>0</v>
      </c>
      <c r="T14" s="220"/>
      <c r="U14" s="220"/>
      <c r="V14" s="283"/>
      <c r="W14" s="40"/>
      <c r="Y14" s="220"/>
      <c r="Z14" s="223"/>
    </row>
    <row r="15" spans="1:26" s="190" customFormat="1" ht="25.4" customHeight="1">
      <c r="A15" s="177" t="s">
        <v>37</v>
      </c>
      <c r="B15" s="177" t="s">
        <v>35</v>
      </c>
      <c r="C15" s="205"/>
      <c r="D15" s="177" t="s">
        <v>38</v>
      </c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>
        <f t="shared" si="1"/>
        <v>0</v>
      </c>
      <c r="R15" s="146">
        <v>44197.760000000002</v>
      </c>
      <c r="S15" s="222">
        <f t="shared" si="0"/>
        <v>0</v>
      </c>
      <c r="T15" s="220"/>
      <c r="U15" s="220"/>
      <c r="V15" s="283"/>
      <c r="W15" s="40"/>
      <c r="Y15" s="220"/>
      <c r="Z15" s="223"/>
    </row>
    <row r="16" spans="1:26" s="190" customFormat="1" ht="25.4" customHeight="1">
      <c r="A16" s="177"/>
      <c r="B16" s="177"/>
      <c r="C16" s="206"/>
      <c r="D16" s="206" t="s">
        <v>39</v>
      </c>
      <c r="E16" s="207">
        <f>SUBTOTAL(9,E11:E15)</f>
        <v>6138361.2000000002</v>
      </c>
      <c r="F16" s="207">
        <f t="shared" ref="F16:Q16" si="2">SUBTOTAL(9,F11:F15)</f>
        <v>7857677.5</v>
      </c>
      <c r="G16" s="207">
        <f t="shared" si="2"/>
        <v>5506627.5999999996</v>
      </c>
      <c r="H16" s="207">
        <f t="shared" si="2"/>
        <v>5203677.4000000004</v>
      </c>
      <c r="I16" s="207">
        <f t="shared" si="2"/>
        <v>6779121.9000000004</v>
      </c>
      <c r="J16" s="207">
        <f t="shared" si="2"/>
        <v>5436425.5</v>
      </c>
      <c r="K16" s="207">
        <f t="shared" si="2"/>
        <v>7371067.5999999996</v>
      </c>
      <c r="L16" s="207">
        <f t="shared" si="2"/>
        <v>7586440.5999999996</v>
      </c>
      <c r="M16" s="207">
        <f t="shared" si="2"/>
        <v>4900169</v>
      </c>
      <c r="N16" s="207">
        <f t="shared" si="2"/>
        <v>8295037.7000000002</v>
      </c>
      <c r="O16" s="207">
        <f t="shared" si="2"/>
        <v>7041192.2000000002</v>
      </c>
      <c r="P16" s="207">
        <f t="shared" si="2"/>
        <v>7534438.5999999996</v>
      </c>
      <c r="Q16" s="207">
        <f t="shared" si="2"/>
        <v>79650236.800000012</v>
      </c>
      <c r="R16" s="207">
        <v>90928069.540999994</v>
      </c>
      <c r="S16" s="222">
        <f t="shared" si="0"/>
        <v>1</v>
      </c>
      <c r="T16" s="220"/>
      <c r="U16" s="220"/>
      <c r="V16" s="283"/>
      <c r="W16" s="40"/>
      <c r="Y16" s="220"/>
      <c r="Z16" s="223"/>
    </row>
    <row r="17" spans="1:27" s="190" customFormat="1" ht="25.4" customHeight="1">
      <c r="A17" s="177"/>
      <c r="B17" s="177"/>
      <c r="C17" s="177"/>
      <c r="D17" s="177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S17" s="223"/>
      <c r="T17" s="283"/>
      <c r="U17" s="283"/>
      <c r="V17" s="283"/>
      <c r="W17" s="224"/>
    </row>
    <row r="18" spans="1:27" s="190" customFormat="1" ht="25.4" customHeight="1">
      <c r="A18" s="177" t="s">
        <v>40</v>
      </c>
      <c r="B18" s="177" t="s">
        <v>26</v>
      </c>
      <c r="C18" s="177"/>
      <c r="D18" s="177" t="s">
        <v>41</v>
      </c>
      <c r="E18" s="43">
        <f>'Rooms Summary'!E103+'Rooms Summary'!E156</f>
        <v>1227482.4819496856</v>
      </c>
      <c r="F18" s="43">
        <f>'Rooms Summary'!F103+'Rooms Summary'!F156</f>
        <v>1418153.5907421382</v>
      </c>
      <c r="G18" s="43">
        <f>'Rooms Summary'!G103+'Rooms Summary'!G156</f>
        <v>1139613.6655345913</v>
      </c>
      <c r="H18" s="43">
        <f>'Rooms Summary'!H103+'Rooms Summary'!H156</f>
        <v>1168131.3125157233</v>
      </c>
      <c r="I18" s="43">
        <f>'Rooms Summary'!I103+'Rooms Summary'!I156</f>
        <v>1290466.6996855345</v>
      </c>
      <c r="J18" s="43">
        <f>'Rooms Summary'!J103+'Rooms Summary'!J156</f>
        <v>1140597.5672327043</v>
      </c>
      <c r="K18" s="43">
        <f>'Rooms Summary'!K103+'Rooms Summary'!K156</f>
        <v>1442736.4938364781</v>
      </c>
      <c r="L18" s="43">
        <f>'Rooms Summary'!L103+'Rooms Summary'!L156</f>
        <v>1502668.7593081761</v>
      </c>
      <c r="M18" s="43">
        <f>'Rooms Summary'!M103+'Rooms Summary'!M156</f>
        <v>1124824.8455345912</v>
      </c>
      <c r="N18" s="43">
        <f>'Rooms Summary'!N103+'Rooms Summary'!N156</f>
        <v>1358697.1642138364</v>
      </c>
      <c r="O18" s="43">
        <f>'Rooms Summary'!O103+'Rooms Summary'!O156</f>
        <v>1218947.7259119498</v>
      </c>
      <c r="P18" s="43">
        <f>'Rooms Summary'!P103+'Rooms Summary'!P156</f>
        <v>1318835.706855346</v>
      </c>
      <c r="Q18" s="220">
        <f>SUM(E18:P18)</f>
        <v>15351156.013320751</v>
      </c>
      <c r="R18" s="220">
        <v>12968787.4891892</v>
      </c>
      <c r="S18" s="222">
        <f>Q18/Q11</f>
        <v>0.349249129585889</v>
      </c>
      <c r="T18" s="220"/>
      <c r="U18" s="220"/>
      <c r="V18" s="283"/>
      <c r="W18" s="282"/>
      <c r="X18" s="283">
        <f>V18-W18</f>
        <v>0</v>
      </c>
      <c r="Y18" s="220"/>
      <c r="Z18" s="223"/>
      <c r="AA18" s="222"/>
    </row>
    <row r="19" spans="1:27" s="190" customFormat="1" ht="25.4" customHeight="1">
      <c r="A19" s="177" t="s">
        <v>40</v>
      </c>
      <c r="B19" s="177" t="s">
        <v>29</v>
      </c>
      <c r="C19" s="177"/>
      <c r="D19" s="177" t="s">
        <v>42</v>
      </c>
      <c r="E19" s="43">
        <f>+'F&amp;B Summary'!E57+'F&amp;B Summary'!E59+'F&amp;B Summary'!E130</f>
        <v>2515819.2300000004</v>
      </c>
      <c r="F19" s="43">
        <f>+'F&amp;B Summary'!F57+'F&amp;B Summary'!F59+'F&amp;B Summary'!F130</f>
        <v>2083682.9200000002</v>
      </c>
      <c r="G19" s="43">
        <f>+'F&amp;B Summary'!G57+'F&amp;B Summary'!G59+'F&amp;B Summary'!G130</f>
        <v>2501953.4250000003</v>
      </c>
      <c r="H19" s="43">
        <f>+'F&amp;B Summary'!H57+'F&amp;B Summary'!H59+'F&amp;B Summary'!H130</f>
        <v>2389804.7200000002</v>
      </c>
      <c r="I19" s="43">
        <f>+'F&amp;B Summary'!I57+'F&amp;B Summary'!I59+'F&amp;B Summary'!I130</f>
        <v>2696792.0999999996</v>
      </c>
      <c r="J19" s="43">
        <f>+'F&amp;B Summary'!J57+'F&amp;B Summary'!J59+'F&amp;B Summary'!J130</f>
        <v>2537094.4499999997</v>
      </c>
      <c r="K19" s="43">
        <f>+'F&amp;B Summary'!K57+'F&amp;B Summary'!K59+'F&amp;B Summary'!K130</f>
        <v>2659110.2949999999</v>
      </c>
      <c r="L19" s="43">
        <f>+'F&amp;B Summary'!L57+'F&amp;B Summary'!L59+'F&amp;B Summary'!L130</f>
        <v>2566481.7649999997</v>
      </c>
      <c r="M19" s="43">
        <f>+'F&amp;B Summary'!M57+'F&amp;B Summary'!M59+'F&amp;B Summary'!M130</f>
        <v>2451129.4749999996</v>
      </c>
      <c r="N19" s="43">
        <f>+'F&amp;B Summary'!N57+'F&amp;B Summary'!N59+'F&amp;B Summary'!N130</f>
        <v>3267082.9850000003</v>
      </c>
      <c r="O19" s="43">
        <f>+'F&amp;B Summary'!O57+'F&amp;B Summary'!O59+'F&amp;B Summary'!O130</f>
        <v>2998183.6750000003</v>
      </c>
      <c r="P19" s="43">
        <f>+'F&amp;B Summary'!P57+'F&amp;B Summary'!P59+'F&amp;B Summary'!P130</f>
        <v>2949229.2549999999</v>
      </c>
      <c r="Q19" s="220">
        <f>SUM(E19:P19)</f>
        <v>31616364.295000002</v>
      </c>
      <c r="R19" s="220">
        <v>30954638.3495</v>
      </c>
      <c r="S19" s="222">
        <f>Q19/Q12</f>
        <v>0.90038191162808945</v>
      </c>
      <c r="T19" s="220"/>
      <c r="U19" s="220"/>
      <c r="V19" s="283"/>
      <c r="W19" s="40"/>
      <c r="Y19" s="220"/>
      <c r="Z19" s="223"/>
      <c r="AA19" s="222"/>
    </row>
    <row r="20" spans="1:27" s="190" customFormat="1" ht="25.4" customHeight="1">
      <c r="A20" s="177" t="s">
        <v>40</v>
      </c>
      <c r="B20" s="177" t="s">
        <v>32</v>
      </c>
      <c r="C20" s="177"/>
      <c r="D20" s="190" t="s">
        <v>43</v>
      </c>
      <c r="E20" s="43">
        <f>+OOD!E98+OOD!E45</f>
        <v>99724.110000000015</v>
      </c>
      <c r="F20" s="43">
        <f>+OOD!F98+OOD!F45</f>
        <v>89100.35</v>
      </c>
      <c r="G20" s="43">
        <f>+OOD!G98+OOD!G45</f>
        <v>89268.68</v>
      </c>
      <c r="H20" s="43">
        <f>+OOD!H98+OOD!H45</f>
        <v>100065.90999999999</v>
      </c>
      <c r="I20" s="43">
        <f>+OOD!I98+OOD!I45</f>
        <v>127512.22</v>
      </c>
      <c r="J20" s="43">
        <f>+OOD!J98+OOD!J45</f>
        <v>115542.34</v>
      </c>
      <c r="K20" s="43">
        <f>+OOD!K98+OOD!K45</f>
        <v>115618.41</v>
      </c>
      <c r="L20" s="43">
        <f>+OOD!L98+OOD!L45</f>
        <v>116949.48999999999</v>
      </c>
      <c r="M20" s="43">
        <f>+OOD!M98+OOD!M45</f>
        <v>120433.9</v>
      </c>
      <c r="N20" s="43">
        <f>+OOD!N98+OOD!N45</f>
        <v>132037.59</v>
      </c>
      <c r="O20" s="43">
        <f>+OOD!O98+OOD!O45</f>
        <v>89746.12</v>
      </c>
      <c r="P20" s="43">
        <f>+OOD!P98+OOD!P45</f>
        <v>95387.53</v>
      </c>
      <c r="Q20" s="220">
        <f>SUM(E20:P20)</f>
        <v>1291386.6500000001</v>
      </c>
      <c r="R20" s="220">
        <v>1022491.63</v>
      </c>
      <c r="S20" s="222">
        <f>Q20/Q13</f>
        <v>2.2223139734985375</v>
      </c>
      <c r="T20" s="220"/>
      <c r="U20" s="220"/>
      <c r="V20" s="283"/>
      <c r="W20" s="40"/>
      <c r="Y20" s="220"/>
      <c r="Z20" s="223"/>
      <c r="AA20" s="222"/>
    </row>
    <row r="21" spans="1:27" s="190" customFormat="1" ht="25.4" customHeight="1">
      <c r="A21" s="177"/>
      <c r="B21" s="177"/>
      <c r="C21" s="206"/>
      <c r="D21" s="206" t="s">
        <v>44</v>
      </c>
      <c r="E21" s="52">
        <f>SUBTOTAL(9,E18:E20)</f>
        <v>3843025.8219496859</v>
      </c>
      <c r="F21" s="52">
        <f t="shared" ref="F21:Q21" si="3">SUBTOTAL(9,F18:F20)</f>
        <v>3590936.8607421382</v>
      </c>
      <c r="G21" s="52">
        <f t="shared" si="3"/>
        <v>3730835.7705345917</v>
      </c>
      <c r="H21" s="52">
        <f t="shared" si="3"/>
        <v>3658001.9425157234</v>
      </c>
      <c r="I21" s="52">
        <f t="shared" si="3"/>
        <v>4114771.0196855343</v>
      </c>
      <c r="J21" s="52">
        <f t="shared" si="3"/>
        <v>3793234.3572327038</v>
      </c>
      <c r="K21" s="52">
        <f t="shared" si="3"/>
        <v>4217465.1988364784</v>
      </c>
      <c r="L21" s="52">
        <f t="shared" si="3"/>
        <v>4186100.014308176</v>
      </c>
      <c r="M21" s="52">
        <f t="shared" si="3"/>
        <v>3696388.2205345905</v>
      </c>
      <c r="N21" s="52">
        <f t="shared" si="3"/>
        <v>4757817.7392138364</v>
      </c>
      <c r="O21" s="52">
        <f t="shared" si="3"/>
        <v>4306877.5209119497</v>
      </c>
      <c r="P21" s="52">
        <f t="shared" si="3"/>
        <v>4363452.4918553466</v>
      </c>
      <c r="Q21" s="52">
        <f t="shared" si="3"/>
        <v>48258906.958320752</v>
      </c>
      <c r="R21" s="52">
        <v>44945917.468689203</v>
      </c>
      <c r="S21" s="222">
        <f>Q21/Q16</f>
        <v>0.60588529170977612</v>
      </c>
      <c r="T21" s="220"/>
      <c r="U21" s="220"/>
      <c r="V21" s="283"/>
      <c r="W21" s="40"/>
      <c r="Y21" s="220"/>
      <c r="Z21" s="223"/>
      <c r="AA21" s="222"/>
    </row>
    <row r="22" spans="1:27" s="190" customFormat="1" ht="25.4" customHeight="1">
      <c r="A22" s="177"/>
      <c r="B22" s="177"/>
      <c r="C22" s="206"/>
      <c r="D22" s="206"/>
      <c r="E22" s="209"/>
      <c r="F22" s="209"/>
      <c r="G22" s="209"/>
      <c r="H22" s="68"/>
      <c r="I22" s="209"/>
      <c r="J22" s="408"/>
      <c r="L22" s="152"/>
      <c r="M22" s="408"/>
      <c r="P22" s="408"/>
      <c r="T22" s="299"/>
      <c r="U22" s="283"/>
      <c r="V22" s="283"/>
      <c r="W22" s="224"/>
      <c r="AA22" s="222"/>
    </row>
    <row r="23" spans="1:27" s="190" customFormat="1" ht="25.4" customHeight="1">
      <c r="A23" s="177"/>
      <c r="B23" s="177"/>
      <c r="C23" s="177"/>
      <c r="D23" s="177" t="s">
        <v>1058</v>
      </c>
      <c r="E23" s="43">
        <f>E$11-E$18</f>
        <v>2267939.1180503145</v>
      </c>
      <c r="F23" s="43">
        <f t="shared" ref="F23:O23" si="4">F$11-F$18</f>
        <v>4470286.109257862</v>
      </c>
      <c r="G23" s="43">
        <f t="shared" si="4"/>
        <v>1425300.3344654087</v>
      </c>
      <c r="H23" s="43">
        <f t="shared" si="4"/>
        <v>1476724.0874842766</v>
      </c>
      <c r="I23" s="43">
        <f t="shared" si="4"/>
        <v>2424291.6003144654</v>
      </c>
      <c r="J23" s="43">
        <f t="shared" si="4"/>
        <v>1475075.9327672957</v>
      </c>
      <c r="K23" s="43">
        <f t="shared" si="4"/>
        <v>2920303.5061635217</v>
      </c>
      <c r="L23" s="43">
        <f t="shared" si="4"/>
        <v>3316244.2406918239</v>
      </c>
      <c r="M23" s="43">
        <f t="shared" si="4"/>
        <v>1399972.1544654088</v>
      </c>
      <c r="N23" s="43">
        <f t="shared" si="4"/>
        <v>2797092.9357861634</v>
      </c>
      <c r="O23" s="43">
        <f t="shared" si="4"/>
        <v>2033402.4740880504</v>
      </c>
      <c r="P23" s="43">
        <f t="shared" ref="P23" si="5">P$11-P$18</f>
        <v>2596955.293144654</v>
      </c>
      <c r="Q23" s="220">
        <f>SUM(E23:P23)</f>
        <v>28603587.786679242</v>
      </c>
      <c r="R23" s="43">
        <v>35926504.310810797</v>
      </c>
      <c r="S23" s="222">
        <f t="shared" ref="S23:S28" si="6">Q23/Q11</f>
        <v>0.65075087041411073</v>
      </c>
      <c r="T23" s="220"/>
      <c r="U23" s="368"/>
      <c r="V23" s="283"/>
      <c r="W23" s="40"/>
      <c r="Y23" s="220"/>
      <c r="Z23" s="223"/>
      <c r="AA23" s="222"/>
    </row>
    <row r="24" spans="1:27" s="190" customFormat="1" ht="25.4" customHeight="1">
      <c r="A24" s="177"/>
      <c r="B24" s="177"/>
      <c r="C24" s="177"/>
      <c r="D24" s="177" t="s">
        <v>45</v>
      </c>
      <c r="E24" s="43">
        <f>E$12-E$19</f>
        <v>109520.36999999965</v>
      </c>
      <c r="F24" s="43">
        <f t="shared" ref="F24:O24" si="7">F$12-F$19</f>
        <v>-138945.12000000011</v>
      </c>
      <c r="G24" s="43">
        <f t="shared" si="7"/>
        <v>410660.17499999981</v>
      </c>
      <c r="H24" s="43">
        <f t="shared" si="7"/>
        <v>133917.2799999998</v>
      </c>
      <c r="I24" s="43">
        <f t="shared" si="7"/>
        <v>324571.50000000047</v>
      </c>
      <c r="J24" s="43">
        <f t="shared" si="7"/>
        <v>236557.55000000028</v>
      </c>
      <c r="K24" s="43">
        <f t="shared" si="7"/>
        <v>294417.30500000017</v>
      </c>
      <c r="L24" s="43">
        <f t="shared" si="7"/>
        <v>152545.83500000043</v>
      </c>
      <c r="M24" s="43">
        <f t="shared" si="7"/>
        <v>-134857.47499999963</v>
      </c>
      <c r="N24" s="43">
        <f t="shared" si="7"/>
        <v>805164.61499999976</v>
      </c>
      <c r="O24" s="43">
        <f t="shared" si="7"/>
        <v>712158.32499999972</v>
      </c>
      <c r="P24" s="43">
        <f t="shared" ref="P24" si="8">P$12-P$19</f>
        <v>592318.3450000002</v>
      </c>
      <c r="Q24" s="220">
        <f>SUM(E24:P24)</f>
        <v>3498028.7050000005</v>
      </c>
      <c r="R24" s="43">
        <v>8802742.5515000001</v>
      </c>
      <c r="S24" s="222">
        <f t="shared" si="6"/>
        <v>9.9618088371910649E-2</v>
      </c>
      <c r="T24" s="220"/>
      <c r="U24" s="368"/>
      <c r="V24" s="283"/>
      <c r="W24" s="40"/>
      <c r="Y24" s="220"/>
      <c r="Z24" s="223"/>
      <c r="AA24" s="222"/>
    </row>
    <row r="25" spans="1:27" s="190" customFormat="1" ht="25.4" customHeight="1">
      <c r="A25" s="177"/>
      <c r="B25" s="177"/>
      <c r="C25" s="177"/>
      <c r="D25" s="177" t="s">
        <v>46</v>
      </c>
      <c r="E25" s="43">
        <f>E$13-E$20</f>
        <v>-82124.110000000015</v>
      </c>
      <c r="F25" s="43">
        <f t="shared" ref="F25:O25" si="9">F$13-F$20</f>
        <v>-64600.350000000006</v>
      </c>
      <c r="G25" s="43">
        <f t="shared" si="9"/>
        <v>-60168.679999999993</v>
      </c>
      <c r="H25" s="43">
        <f t="shared" si="9"/>
        <v>-64965.909999999989</v>
      </c>
      <c r="I25" s="43">
        <f t="shared" si="9"/>
        <v>-84512.22</v>
      </c>
      <c r="J25" s="43">
        <f t="shared" si="9"/>
        <v>-68442.34</v>
      </c>
      <c r="K25" s="43">
        <f t="shared" si="9"/>
        <v>-61118.41</v>
      </c>
      <c r="L25" s="43">
        <f t="shared" si="9"/>
        <v>-68449.489999999991</v>
      </c>
      <c r="M25" s="43">
        <f t="shared" si="9"/>
        <v>-61333.899999999994</v>
      </c>
      <c r="N25" s="43">
        <f t="shared" si="9"/>
        <v>-65037.59</v>
      </c>
      <c r="O25" s="43">
        <f t="shared" si="9"/>
        <v>-11246.119999999995</v>
      </c>
      <c r="P25" s="43">
        <f t="shared" ref="P25" si="10">P$13-P$20</f>
        <v>-18287.53</v>
      </c>
      <c r="Q25" s="220">
        <f>SUM(E25:P25)</f>
        <v>-710286.65</v>
      </c>
      <c r="R25" s="43">
        <v>1208707.45</v>
      </c>
      <c r="S25" s="222">
        <f t="shared" si="6"/>
        <v>-1.2223139734985373</v>
      </c>
      <c r="T25" s="220"/>
      <c r="U25" s="220"/>
      <c r="V25" s="283"/>
      <c r="W25" s="40"/>
      <c r="Y25" s="220"/>
      <c r="Z25" s="223"/>
      <c r="AA25" s="222"/>
    </row>
    <row r="26" spans="1:27" s="190" customFormat="1" ht="25.4" customHeight="1">
      <c r="A26" s="177"/>
      <c r="B26" s="177"/>
      <c r="C26" s="177"/>
      <c r="D26" s="177" t="s">
        <v>47</v>
      </c>
      <c r="E26" s="43">
        <f>E$14</f>
        <v>0</v>
      </c>
      <c r="F26" s="43">
        <f t="shared" ref="F26:P26" si="11">F$14</f>
        <v>0</v>
      </c>
      <c r="G26" s="43">
        <f t="shared" si="11"/>
        <v>0</v>
      </c>
      <c r="H26" s="43">
        <f t="shared" si="11"/>
        <v>0</v>
      </c>
      <c r="I26" s="43">
        <f t="shared" si="11"/>
        <v>0</v>
      </c>
      <c r="J26" s="43">
        <f t="shared" si="11"/>
        <v>0</v>
      </c>
      <c r="K26" s="43">
        <f t="shared" si="11"/>
        <v>0</v>
      </c>
      <c r="L26" s="43">
        <f t="shared" si="11"/>
        <v>0</v>
      </c>
      <c r="M26" s="43">
        <f t="shared" si="11"/>
        <v>0</v>
      </c>
      <c r="N26" s="43">
        <f t="shared" si="11"/>
        <v>0</v>
      </c>
      <c r="O26" s="43">
        <f t="shared" si="11"/>
        <v>0</v>
      </c>
      <c r="P26" s="43">
        <f t="shared" si="11"/>
        <v>0</v>
      </c>
      <c r="Q26" s="220">
        <f>SUM(E26:P26)</f>
        <v>0</v>
      </c>
      <c r="R26" s="43">
        <v>0</v>
      </c>
      <c r="S26" s="222"/>
      <c r="T26" s="220"/>
      <c r="U26" s="220"/>
      <c r="V26" s="283"/>
      <c r="W26" s="40"/>
      <c r="Y26" s="220"/>
      <c r="Z26" s="223"/>
      <c r="AA26" s="222"/>
    </row>
    <row r="27" spans="1:27" s="190" customFormat="1" ht="25.4" customHeight="1">
      <c r="A27" s="177"/>
      <c r="B27" s="177"/>
      <c r="C27" s="177"/>
      <c r="D27" s="177" t="s">
        <v>48</v>
      </c>
      <c r="E27" s="43">
        <f>E$15</f>
        <v>0</v>
      </c>
      <c r="F27" s="43">
        <f t="shared" ref="F27:O27" si="12">F$15</f>
        <v>0</v>
      </c>
      <c r="G27" s="43">
        <f t="shared" si="12"/>
        <v>0</v>
      </c>
      <c r="H27" s="43">
        <f t="shared" si="12"/>
        <v>0</v>
      </c>
      <c r="I27" s="43">
        <f t="shared" si="12"/>
        <v>0</v>
      </c>
      <c r="J27" s="43">
        <f t="shared" si="12"/>
        <v>0</v>
      </c>
      <c r="K27" s="43">
        <f t="shared" si="12"/>
        <v>0</v>
      </c>
      <c r="L27" s="43">
        <f t="shared" si="12"/>
        <v>0</v>
      </c>
      <c r="M27" s="43">
        <f t="shared" si="12"/>
        <v>0</v>
      </c>
      <c r="N27" s="43">
        <f t="shared" si="12"/>
        <v>0</v>
      </c>
      <c r="O27" s="43">
        <f t="shared" si="12"/>
        <v>0</v>
      </c>
      <c r="P27" s="43">
        <f t="shared" ref="P27" si="13">P$15</f>
        <v>0</v>
      </c>
      <c r="Q27" s="43">
        <f>SUM(E27:P27)</f>
        <v>0</v>
      </c>
      <c r="R27" s="43">
        <v>44197.760000000002</v>
      </c>
      <c r="S27" s="222"/>
      <c r="T27" s="220"/>
      <c r="U27" s="220"/>
      <c r="V27" s="283"/>
      <c r="W27" s="40"/>
      <c r="Y27" s="220"/>
      <c r="Z27" s="223"/>
      <c r="AA27" s="222"/>
    </row>
    <row r="28" spans="1:27" s="190" customFormat="1" ht="25.4" customHeight="1">
      <c r="A28" s="177"/>
      <c r="B28" s="177"/>
      <c r="C28" s="206"/>
      <c r="D28" s="206" t="s">
        <v>49</v>
      </c>
      <c r="E28" s="52">
        <f t="shared" ref="E28:Q28" si="14">SUBTOTAL(9,E23:E27)</f>
        <v>2295335.3780503143</v>
      </c>
      <c r="F28" s="52">
        <f t="shared" si="14"/>
        <v>4266740.6392578622</v>
      </c>
      <c r="G28" s="52">
        <f t="shared" si="14"/>
        <v>1775791.8294654086</v>
      </c>
      <c r="H28" s="52">
        <f t="shared" si="14"/>
        <v>1545675.4574842765</v>
      </c>
      <c r="I28" s="52">
        <f t="shared" si="14"/>
        <v>2664350.8803144656</v>
      </c>
      <c r="J28" s="52">
        <f t="shared" si="14"/>
        <v>1643191.1427672959</v>
      </c>
      <c r="K28" s="52">
        <f t="shared" si="14"/>
        <v>3153602.4011635217</v>
      </c>
      <c r="L28" s="52">
        <f t="shared" si="14"/>
        <v>3400340.5856918246</v>
      </c>
      <c r="M28" s="52">
        <f t="shared" si="14"/>
        <v>1203780.7794654092</v>
      </c>
      <c r="N28" s="52">
        <f t="shared" si="14"/>
        <v>3537219.9607861633</v>
      </c>
      <c r="O28" s="52">
        <f t="shared" si="14"/>
        <v>2734314.67908805</v>
      </c>
      <c r="P28" s="52">
        <f t="shared" si="14"/>
        <v>3170986.1081446544</v>
      </c>
      <c r="Q28" s="52">
        <f t="shared" si="14"/>
        <v>31391329.841679245</v>
      </c>
      <c r="R28" s="52">
        <v>45982152.072310798</v>
      </c>
      <c r="S28" s="222">
        <f t="shared" si="6"/>
        <v>0.39411470829022371</v>
      </c>
      <c r="T28" s="220"/>
      <c r="U28" s="220"/>
      <c r="V28" s="283"/>
      <c r="W28" s="40"/>
      <c r="Y28" s="220"/>
      <c r="Z28" s="223"/>
      <c r="AA28" s="222"/>
    </row>
    <row r="29" spans="1:27" s="190" customFormat="1" ht="25.4" customHeight="1">
      <c r="A29" s="177"/>
      <c r="B29" s="177"/>
      <c r="C29" s="177"/>
      <c r="D29" s="177"/>
      <c r="E29" s="208"/>
      <c r="F29" s="208"/>
      <c r="G29" s="208"/>
      <c r="H29" s="208"/>
      <c r="I29" s="208"/>
      <c r="L29" s="152"/>
      <c r="T29" s="283"/>
      <c r="U29" s="283"/>
      <c r="V29" s="283"/>
      <c r="W29" s="224"/>
      <c r="AA29" s="222"/>
    </row>
    <row r="30" spans="1:27" s="190" customFormat="1" ht="25.4" customHeight="1">
      <c r="A30" s="177" t="s">
        <v>50</v>
      </c>
      <c r="B30" s="177" t="s">
        <v>51</v>
      </c>
      <c r="C30" s="177"/>
      <c r="D30" s="177" t="s">
        <v>52</v>
      </c>
      <c r="E30" s="43">
        <f>+'A&amp;G'!E159</f>
        <v>865404.51573333319</v>
      </c>
      <c r="F30" s="43">
        <f>+'A&amp;G'!F159</f>
        <v>850938.1183333334</v>
      </c>
      <c r="G30" s="43">
        <f>+'A&amp;G'!G159</f>
        <v>845911.91853333334</v>
      </c>
      <c r="H30" s="43">
        <f>+'A&amp;G'!H159</f>
        <v>869122.95813333325</v>
      </c>
      <c r="I30" s="43">
        <f>+'A&amp;G'!I159</f>
        <v>867076.90713333338</v>
      </c>
      <c r="J30" s="43">
        <f>+'A&amp;G'!J159</f>
        <v>852211.08433333342</v>
      </c>
      <c r="K30" s="43">
        <f>+'A&amp;G'!K159</f>
        <v>914143.29853333323</v>
      </c>
      <c r="L30" s="43">
        <f>+'A&amp;G'!L159</f>
        <v>844695.78453333327</v>
      </c>
      <c r="M30" s="43">
        <f>+'A&amp;G'!M159</f>
        <v>853630.53133333335</v>
      </c>
      <c r="N30" s="43">
        <f>+'A&amp;G'!N159</f>
        <v>914525.3387333334</v>
      </c>
      <c r="O30" s="43">
        <f>+'A&amp;G'!O159</f>
        <v>915940.27773333341</v>
      </c>
      <c r="P30" s="43">
        <f>+'A&amp;G'!P159</f>
        <v>924122.76053333329</v>
      </c>
      <c r="Q30" s="220">
        <f>SUM(E30:P30)</f>
        <v>10517723.4936</v>
      </c>
      <c r="R30" s="220">
        <v>12763695.470000001</v>
      </c>
      <c r="S30" s="222">
        <f>Q30/$Q$16</f>
        <v>0.13204886659671547</v>
      </c>
      <c r="T30" s="220"/>
      <c r="U30" s="220"/>
      <c r="V30" s="283"/>
      <c r="W30" s="40"/>
      <c r="Y30" s="220"/>
      <c r="Z30" s="223"/>
      <c r="AA30" s="222"/>
    </row>
    <row r="31" spans="1:27" s="190" customFormat="1" ht="24.75" customHeight="1">
      <c r="A31" s="177" t="s">
        <v>53</v>
      </c>
      <c r="B31" s="177" t="s">
        <v>54</v>
      </c>
      <c r="C31" s="177"/>
      <c r="D31" s="177" t="s">
        <v>55</v>
      </c>
      <c r="E31" s="43">
        <f>+'S&amp;M'!E158-'S&amp;M'!E150</f>
        <v>571755.72933333321</v>
      </c>
      <c r="F31" s="43">
        <f>+'S&amp;M'!F158-'S&amp;M'!F150</f>
        <v>630907.88783333322</v>
      </c>
      <c r="G31" s="43">
        <f>+'S&amp;M'!G158-'S&amp;M'!G150</f>
        <v>628798.76333333331</v>
      </c>
      <c r="H31" s="43">
        <f>+'S&amp;M'!H158-'S&amp;M'!H150</f>
        <v>702668.11233333347</v>
      </c>
      <c r="I31" s="43">
        <f>+'S&amp;M'!I158-'S&amp;M'!I150</f>
        <v>601074.88883333327</v>
      </c>
      <c r="J31" s="43">
        <f>+'S&amp;M'!J158-'S&amp;M'!J150</f>
        <v>719151.72083333333</v>
      </c>
      <c r="K31" s="43">
        <f>+'S&amp;M'!K158-'S&amp;M'!K150</f>
        <v>523330.12333333341</v>
      </c>
      <c r="L31" s="43">
        <f>+'S&amp;M'!L158-'S&amp;M'!L150</f>
        <v>522354.6783333334</v>
      </c>
      <c r="M31" s="43">
        <f>+'S&amp;M'!M158-'S&amp;M'!M150</f>
        <v>731946.36833333329</v>
      </c>
      <c r="N31" s="43">
        <f>+'S&amp;M'!N158-'S&amp;M'!N150</f>
        <v>805889.90183333331</v>
      </c>
      <c r="O31" s="43">
        <f>+'S&amp;M'!O158-'S&amp;M'!O150</f>
        <v>564911.73033333325</v>
      </c>
      <c r="P31" s="43">
        <f>+'S&amp;M'!P158-'S&amp;M'!P150</f>
        <v>770382.20833333326</v>
      </c>
      <c r="Q31" s="220">
        <f>SUM(E31:P31)</f>
        <v>7773172.112999999</v>
      </c>
      <c r="R31" s="220">
        <v>4610708.6399999997</v>
      </c>
      <c r="S31" s="222">
        <f t="shared" ref="S31:S36" si="15">Q31/$Q$16</f>
        <v>9.759132458724841E-2</v>
      </c>
      <c r="T31" s="220"/>
      <c r="U31" s="220"/>
      <c r="V31" s="283"/>
      <c r="W31" s="40"/>
      <c r="X31" s="223"/>
      <c r="Y31" s="220"/>
      <c r="Z31" s="223"/>
      <c r="AA31" s="222"/>
    </row>
    <row r="32" spans="1:27" s="190" customFormat="1" ht="24.75" customHeight="1">
      <c r="A32" s="177" t="s">
        <v>56</v>
      </c>
      <c r="B32" s="177" t="s">
        <v>54</v>
      </c>
      <c r="C32" s="177"/>
      <c r="D32" s="177" t="s">
        <v>57</v>
      </c>
      <c r="E32" s="43">
        <f>+'S&amp;M'!E150</f>
        <v>92075.418000000005</v>
      </c>
      <c r="F32" s="43">
        <f>+'S&amp;M'!F150</f>
        <v>117865.16249999999</v>
      </c>
      <c r="G32" s="43">
        <f>+'S&amp;M'!G150</f>
        <v>82599.41399999999</v>
      </c>
      <c r="H32" s="43">
        <f>+'S&amp;M'!H150</f>
        <v>78055.161000000007</v>
      </c>
      <c r="I32" s="43">
        <f>+'S&amp;M'!I150</f>
        <v>101686.8285</v>
      </c>
      <c r="J32" s="43">
        <f>+'S&amp;M'!J150</f>
        <v>81546.382499999992</v>
      </c>
      <c r="K32" s="43">
        <f>+'S&amp;M'!K150</f>
        <v>110566.014</v>
      </c>
      <c r="L32" s="43">
        <f>+'S&amp;M'!L150</f>
        <v>113796.609</v>
      </c>
      <c r="M32" s="43">
        <f>+'S&amp;M'!M150</f>
        <v>73502.535000000003</v>
      </c>
      <c r="N32" s="43">
        <f>+'S&amp;M'!N150</f>
        <v>124425.5655</v>
      </c>
      <c r="O32" s="43">
        <f>+'S&amp;M'!O150</f>
        <v>105617.883</v>
      </c>
      <c r="P32" s="43">
        <f>+'S&amp;M'!P150</f>
        <v>113016.57899999998</v>
      </c>
      <c r="Q32" s="220">
        <f>SUM(E32:P32)</f>
        <v>1194753.5519999999</v>
      </c>
      <c r="R32" s="220">
        <v>1402591.0799</v>
      </c>
      <c r="S32" s="222">
        <f t="shared" si="15"/>
        <v>1.4999999999999996E-2</v>
      </c>
      <c r="T32" s="220"/>
      <c r="U32" s="220"/>
      <c r="V32" s="283"/>
      <c r="W32" s="40"/>
      <c r="Y32" s="220"/>
      <c r="Z32" s="223"/>
      <c r="AA32" s="222"/>
    </row>
    <row r="33" spans="1:28" s="190" customFormat="1" ht="25.4" customHeight="1">
      <c r="A33" s="177" t="s">
        <v>50</v>
      </c>
      <c r="B33" s="177" t="s">
        <v>58</v>
      </c>
      <c r="C33" s="177"/>
      <c r="D33" s="177" t="s">
        <v>59</v>
      </c>
      <c r="E33" s="43">
        <f>+'R&amp;M'!E159</f>
        <v>313749.96666666667</v>
      </c>
      <c r="F33" s="43">
        <f>+'R&amp;M'!F159</f>
        <v>286847.77666666661</v>
      </c>
      <c r="G33" s="43">
        <f>+'R&amp;M'!G159</f>
        <v>286100.05666666664</v>
      </c>
      <c r="H33" s="43">
        <f>+'R&amp;M'!H159</f>
        <v>294159.55666666664</v>
      </c>
      <c r="I33" s="43">
        <f>+'R&amp;M'!I159</f>
        <v>298804.25666666671</v>
      </c>
      <c r="J33" s="43">
        <f>+'R&amp;M'!J159</f>
        <v>288791.53666666668</v>
      </c>
      <c r="K33" s="43">
        <f>+'R&amp;M'!K159</f>
        <v>288418.39666666667</v>
      </c>
      <c r="L33" s="43">
        <f>+'R&amp;M'!L159</f>
        <v>288465.01666666666</v>
      </c>
      <c r="M33" s="43">
        <f>+'R&amp;M'!M159</f>
        <v>288577.15666666668</v>
      </c>
      <c r="N33" s="43">
        <f>+'R&amp;M'!N159</f>
        <v>315296.46666666667</v>
      </c>
      <c r="O33" s="43">
        <f>+'R&amp;M'!O159</f>
        <v>284398.87666666665</v>
      </c>
      <c r="P33" s="43">
        <f>+'R&amp;M'!P159</f>
        <v>284279.35666666669</v>
      </c>
      <c r="Q33" s="220">
        <f>SUM(E33:P33)</f>
        <v>3517888.42</v>
      </c>
      <c r="R33" s="220">
        <v>3141774.97</v>
      </c>
      <c r="S33" s="222">
        <f t="shared" si="15"/>
        <v>4.4166703845882345E-2</v>
      </c>
      <c r="T33" s="220"/>
      <c r="U33" s="220"/>
      <c r="V33" s="283"/>
      <c r="W33" s="40"/>
      <c r="X33" s="225"/>
      <c r="Y33" s="220"/>
      <c r="Z33" s="223"/>
      <c r="AA33" s="222"/>
    </row>
    <row r="34" spans="1:28" s="190" customFormat="1" ht="25.4" customHeight="1">
      <c r="A34" s="177" t="s">
        <v>50</v>
      </c>
      <c r="B34" s="177" t="s">
        <v>60</v>
      </c>
      <c r="C34" s="177"/>
      <c r="D34" s="177" t="s">
        <v>1059</v>
      </c>
      <c r="E34" s="43">
        <f>+Utilities!E18</f>
        <v>581200</v>
      </c>
      <c r="F34" s="43">
        <f>+Utilities!F18</f>
        <v>601200</v>
      </c>
      <c r="G34" s="43">
        <f>+Utilities!G18</f>
        <v>529200</v>
      </c>
      <c r="H34" s="43">
        <f>+Utilities!H18</f>
        <v>568200</v>
      </c>
      <c r="I34" s="43">
        <f>+Utilities!I18</f>
        <v>619200</v>
      </c>
      <c r="J34" s="43">
        <f>+Utilities!J18</f>
        <v>636200</v>
      </c>
      <c r="K34" s="43">
        <f>+Utilities!K18</f>
        <v>670200</v>
      </c>
      <c r="L34" s="43">
        <f>+Utilities!L18</f>
        <v>665200</v>
      </c>
      <c r="M34" s="43">
        <f>+Utilities!M18</f>
        <v>624200</v>
      </c>
      <c r="N34" s="43">
        <f>+Utilities!N18</f>
        <v>641200</v>
      </c>
      <c r="O34" s="43">
        <f>+Utilities!O18</f>
        <v>562200</v>
      </c>
      <c r="P34" s="43">
        <f>+Utilities!P18</f>
        <v>586200</v>
      </c>
      <c r="Q34" s="220">
        <f>SUM(E34:P34)</f>
        <v>7284400</v>
      </c>
      <c r="R34" s="220">
        <v>8485679.3100000005</v>
      </c>
      <c r="S34" s="222">
        <f t="shared" si="15"/>
        <v>9.1454844237198796E-2</v>
      </c>
      <c r="T34" s="220"/>
      <c r="U34" s="220"/>
      <c r="V34" s="283"/>
      <c r="W34" s="40"/>
      <c r="Y34" s="220"/>
      <c r="Z34" s="223"/>
      <c r="AA34" s="222"/>
    </row>
    <row r="35" spans="1:28" s="190" customFormat="1" ht="25.4" customHeight="1">
      <c r="A35" s="177"/>
      <c r="B35" s="177"/>
      <c r="C35" s="206"/>
      <c r="D35" s="206" t="s">
        <v>61</v>
      </c>
      <c r="E35" s="52">
        <f>SUBTOTAL(9,E30:E34)</f>
        <v>2424185.6297333334</v>
      </c>
      <c r="F35" s="52">
        <f t="shared" ref="F35:Q35" si="16">SUBTOTAL(9,F30:F34)</f>
        <v>2487758.9453333337</v>
      </c>
      <c r="G35" s="52">
        <f t="shared" si="16"/>
        <v>2372610.1525333333</v>
      </c>
      <c r="H35" s="52">
        <f t="shared" si="16"/>
        <v>2512205.7881333334</v>
      </c>
      <c r="I35" s="52">
        <f t="shared" si="16"/>
        <v>2487842.8811333333</v>
      </c>
      <c r="J35" s="52">
        <f t="shared" si="16"/>
        <v>2577900.7243333338</v>
      </c>
      <c r="K35" s="52">
        <f t="shared" si="16"/>
        <v>2506657.8325333335</v>
      </c>
      <c r="L35" s="52">
        <f t="shared" si="16"/>
        <v>2434512.0885333335</v>
      </c>
      <c r="M35" s="52">
        <f t="shared" si="16"/>
        <v>2571856.5913333334</v>
      </c>
      <c r="N35" s="52">
        <f t="shared" si="16"/>
        <v>2801337.2727333335</v>
      </c>
      <c r="O35" s="52">
        <f t="shared" si="16"/>
        <v>2433068.7677333336</v>
      </c>
      <c r="P35" s="52">
        <f t="shared" si="16"/>
        <v>2678000.9045333331</v>
      </c>
      <c r="Q35" s="52">
        <f t="shared" si="16"/>
        <v>30287937.578599997</v>
      </c>
      <c r="R35" s="52">
        <v>30404449.469900001</v>
      </c>
      <c r="S35" s="222">
        <f t="shared" si="15"/>
        <v>0.38026173926704498</v>
      </c>
      <c r="T35" s="220"/>
      <c r="U35" s="220"/>
      <c r="V35" s="283"/>
      <c r="W35" s="40"/>
      <c r="Y35" s="220"/>
      <c r="Z35" s="223"/>
      <c r="AA35" s="222"/>
    </row>
    <row r="36" spans="1:28" s="190" customFormat="1" ht="25.4" customHeight="1">
      <c r="A36" s="177"/>
      <c r="B36" s="177"/>
      <c r="C36" s="210"/>
      <c r="D36" s="210" t="s">
        <v>62</v>
      </c>
      <c r="E36" s="52">
        <f>E28-E35</f>
        <v>-128850.2516830191</v>
      </c>
      <c r="F36" s="52">
        <f t="shared" ref="F36:Q36" si="17">F28-F35</f>
        <v>1778981.6939245285</v>
      </c>
      <c r="G36" s="52">
        <f t="shared" si="17"/>
        <v>-596818.32306792471</v>
      </c>
      <c r="H36" s="52">
        <f t="shared" si="17"/>
        <v>-966530.33064905694</v>
      </c>
      <c r="I36" s="52">
        <f t="shared" si="17"/>
        <v>176507.9991811323</v>
      </c>
      <c r="J36" s="52">
        <f t="shared" si="17"/>
        <v>-934709.58156603784</v>
      </c>
      <c r="K36" s="52">
        <f t="shared" si="17"/>
        <v>646944.56863018824</v>
      </c>
      <c r="L36" s="52">
        <f t="shared" si="17"/>
        <v>965828.49715849105</v>
      </c>
      <c r="M36" s="52">
        <f t="shared" si="17"/>
        <v>-1368075.8118679242</v>
      </c>
      <c r="N36" s="52">
        <f t="shared" si="17"/>
        <v>735882.68805282982</v>
      </c>
      <c r="O36" s="52">
        <f t="shared" si="17"/>
        <v>301245.9113547164</v>
      </c>
      <c r="P36" s="52">
        <f t="shared" si="17"/>
        <v>492985.20361132128</v>
      </c>
      <c r="Q36" s="52">
        <f t="shared" si="17"/>
        <v>1103392.2630792484</v>
      </c>
      <c r="R36" s="52">
        <v>15577702.602410801</v>
      </c>
      <c r="S36" s="222">
        <f t="shared" si="15"/>
        <v>1.38529690231787E-2</v>
      </c>
      <c r="T36" s="220"/>
      <c r="U36" s="220"/>
      <c r="V36" s="283"/>
      <c r="W36" s="40"/>
      <c r="Y36" s="220"/>
      <c r="Z36" s="223"/>
      <c r="AA36" s="222"/>
      <c r="AB36" s="222"/>
    </row>
    <row r="37" spans="1:28" s="190" customFormat="1" ht="25.4" customHeight="1">
      <c r="A37" s="177"/>
      <c r="B37" s="177"/>
      <c r="C37" s="210"/>
      <c r="D37" s="210" t="s">
        <v>63</v>
      </c>
      <c r="E37" s="227">
        <f>IF(E36=0,0,E36/E16)</f>
        <v>-2.0990985620562553E-2</v>
      </c>
      <c r="F37" s="227">
        <f t="shared" ref="F37:Q37" si="18">IF(F36=0,0,F36/F16)</f>
        <v>0.2264004464327441</v>
      </c>
      <c r="G37" s="227">
        <f t="shared" si="18"/>
        <v>-0.10838182031193189</v>
      </c>
      <c r="H37" s="227">
        <f t="shared" si="18"/>
        <v>-0.18573986362972017</v>
      </c>
      <c r="I37" s="227">
        <f t="shared" si="18"/>
        <v>2.60370003349744E-2</v>
      </c>
      <c r="J37" s="227">
        <f t="shared" si="18"/>
        <v>-0.17193458855750673</v>
      </c>
      <c r="K37" s="227">
        <f t="shared" si="18"/>
        <v>8.7768095985198705E-2</v>
      </c>
      <c r="L37" s="227">
        <f t="shared" si="18"/>
        <v>0.12730983449056349</v>
      </c>
      <c r="M37" s="227">
        <f t="shared" si="18"/>
        <v>-0.27918951608973569</v>
      </c>
      <c r="N37" s="227">
        <f t="shared" si="18"/>
        <v>8.8713603803492039E-2</v>
      </c>
      <c r="O37" s="227">
        <f t="shared" si="18"/>
        <v>4.2783367190958994E-2</v>
      </c>
      <c r="P37" s="227">
        <f t="shared" si="18"/>
        <v>6.5430913938474639E-2</v>
      </c>
      <c r="Q37" s="227">
        <f t="shared" si="18"/>
        <v>1.38529690231787E-2</v>
      </c>
      <c r="R37" s="211">
        <v>0.17131896323155499</v>
      </c>
      <c r="T37" s="299"/>
      <c r="U37" s="299"/>
      <c r="V37" s="283"/>
      <c r="W37" s="40"/>
      <c r="X37" s="223"/>
    </row>
    <row r="38" spans="1:28" s="190" customFormat="1" ht="25.4" customHeight="1">
      <c r="A38" s="177"/>
      <c r="B38" s="177"/>
      <c r="C38" s="210"/>
      <c r="D38" s="210"/>
      <c r="E38" s="212"/>
      <c r="F38" s="212"/>
      <c r="G38" s="212"/>
      <c r="H38" s="212"/>
      <c r="I38" s="212"/>
      <c r="L38" s="152"/>
      <c r="T38" s="283"/>
      <c r="U38" s="283"/>
      <c r="V38" s="283"/>
      <c r="W38" s="224"/>
      <c r="X38" s="223"/>
    </row>
    <row r="39" spans="1:28" s="190" customFormat="1" ht="25.4" customHeight="1">
      <c r="A39" s="177" t="s">
        <v>64</v>
      </c>
      <c r="B39" s="177" t="s">
        <v>65</v>
      </c>
      <c r="C39" s="210"/>
      <c r="D39" s="177" t="s">
        <v>66</v>
      </c>
      <c r="E39" s="43">
        <f>'Fixed Charge'!E14</f>
        <v>210000</v>
      </c>
      <c r="F39" s="43">
        <f>'Fixed Charge'!F14</f>
        <v>210000</v>
      </c>
      <c r="G39" s="43">
        <f>'Fixed Charge'!G14</f>
        <v>210000</v>
      </c>
      <c r="H39" s="43">
        <f>'Fixed Charge'!H14</f>
        <v>210000</v>
      </c>
      <c r="I39" s="43">
        <f>'Fixed Charge'!I14</f>
        <v>210000</v>
      </c>
      <c r="J39" s="43">
        <f>'Fixed Charge'!J14</f>
        <v>210000</v>
      </c>
      <c r="K39" s="43">
        <f>'Fixed Charge'!K14</f>
        <v>210000</v>
      </c>
      <c r="L39" s="43">
        <f>'Fixed Charge'!L14</f>
        <v>210000</v>
      </c>
      <c r="M39" s="43">
        <f>'Fixed Charge'!M14</f>
        <v>210000</v>
      </c>
      <c r="N39" s="43">
        <f>'Fixed Charge'!N14</f>
        <v>210000</v>
      </c>
      <c r="O39" s="43">
        <f>'Fixed Charge'!O14</f>
        <v>210000</v>
      </c>
      <c r="P39" s="43">
        <f>'Fixed Charge'!P14</f>
        <v>210000</v>
      </c>
      <c r="Q39" s="220">
        <f>SUM(E39:P39)</f>
        <v>2520000</v>
      </c>
      <c r="R39" s="220">
        <v>1756590.62842</v>
      </c>
      <c r="S39" s="222">
        <f>Q39/$Q$16</f>
        <v>3.1638324018140263E-2</v>
      </c>
      <c r="T39" s="220"/>
      <c r="U39" s="220"/>
      <c r="V39" s="283"/>
      <c r="W39" s="40"/>
    </row>
    <row r="40" spans="1:28" s="190" customFormat="1" ht="25.4" customHeight="1">
      <c r="A40" s="177" t="s">
        <v>67</v>
      </c>
      <c r="B40" s="177" t="s">
        <v>65</v>
      </c>
      <c r="C40" s="177"/>
      <c r="D40" s="190" t="s">
        <v>68</v>
      </c>
      <c r="E40" s="43">
        <f>'Fixed Charge'!E15</f>
        <v>0</v>
      </c>
      <c r="F40" s="43">
        <f>'Fixed Charge'!F15</f>
        <v>0</v>
      </c>
      <c r="G40" s="43">
        <f>'Fixed Charge'!G15</f>
        <v>0</v>
      </c>
      <c r="H40" s="43">
        <f>'Fixed Charge'!H15</f>
        <v>0</v>
      </c>
      <c r="I40" s="43">
        <f>'Fixed Charge'!I15</f>
        <v>0</v>
      </c>
      <c r="J40" s="43">
        <f>'Fixed Charge'!J15</f>
        <v>0</v>
      </c>
      <c r="K40" s="43">
        <f>'Fixed Charge'!K15</f>
        <v>0</v>
      </c>
      <c r="L40" s="43">
        <f>'Fixed Charge'!L15</f>
        <v>0</v>
      </c>
      <c r="M40" s="43">
        <f>'Fixed Charge'!M15</f>
        <v>0</v>
      </c>
      <c r="N40" s="43">
        <f>'Fixed Charge'!N15</f>
        <v>0</v>
      </c>
      <c r="O40" s="43">
        <f>'Fixed Charge'!O15</f>
        <v>0</v>
      </c>
      <c r="P40" s="43">
        <f>'Fixed Charge'!P15</f>
        <v>0</v>
      </c>
      <c r="Q40" s="220">
        <f>SUM(E40:P40)</f>
        <v>0</v>
      </c>
      <c r="R40" s="220">
        <v>536009.06319954095</v>
      </c>
      <c r="S40" s="222">
        <f>Q40/$Q$16</f>
        <v>0</v>
      </c>
      <c r="T40" s="220"/>
      <c r="U40" s="220"/>
      <c r="V40" s="283"/>
      <c r="W40" s="40"/>
    </row>
    <row r="41" spans="1:28" s="190" customFormat="1" ht="25.4" customHeight="1">
      <c r="A41" s="177"/>
      <c r="B41" s="177"/>
      <c r="C41" s="206"/>
      <c r="D41" s="206" t="s">
        <v>69</v>
      </c>
      <c r="E41" s="52">
        <f>E36-E39-E40</f>
        <v>-338850.2516830191</v>
      </c>
      <c r="F41" s="52">
        <f t="shared" ref="F41:Q41" si="19">F36-F39-F40</f>
        <v>1568981.6939245285</v>
      </c>
      <c r="G41" s="52">
        <f t="shared" si="19"/>
        <v>-806818.32306792471</v>
      </c>
      <c r="H41" s="52">
        <f t="shared" si="19"/>
        <v>-1176530.3306490569</v>
      </c>
      <c r="I41" s="52">
        <f t="shared" si="19"/>
        <v>-33492.000818867702</v>
      </c>
      <c r="J41" s="52">
        <f t="shared" si="19"/>
        <v>-1144709.5815660378</v>
      </c>
      <c r="K41" s="52">
        <f t="shared" si="19"/>
        <v>436944.56863018824</v>
      </c>
      <c r="L41" s="52">
        <f t="shared" si="19"/>
        <v>755828.49715849105</v>
      </c>
      <c r="M41" s="52">
        <f t="shared" si="19"/>
        <v>-1578075.8118679242</v>
      </c>
      <c r="N41" s="52">
        <f t="shared" si="19"/>
        <v>525882.68805282982</v>
      </c>
      <c r="O41" s="52">
        <f t="shared" si="19"/>
        <v>91245.911354716402</v>
      </c>
      <c r="P41" s="52">
        <f t="shared" si="19"/>
        <v>282985.20361132128</v>
      </c>
      <c r="Q41" s="52">
        <f t="shared" si="19"/>
        <v>-1416607.7369207516</v>
      </c>
      <c r="R41" s="52">
        <v>13285102.9107913</v>
      </c>
      <c r="S41" s="222">
        <f>Q41/$Q$16</f>
        <v>-1.7785354994961564E-2</v>
      </c>
      <c r="T41" s="220"/>
      <c r="U41" s="220"/>
      <c r="V41" s="283"/>
      <c r="W41" s="40"/>
    </row>
    <row r="42" spans="1:28" s="190" customFormat="1" ht="24.75" customHeight="1">
      <c r="A42" s="177"/>
      <c r="B42" s="177"/>
      <c r="C42" s="177"/>
      <c r="D42" s="177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T42" s="283"/>
      <c r="U42" s="283"/>
      <c r="V42" s="283"/>
      <c r="W42" s="224"/>
    </row>
    <row r="43" spans="1:28" s="190" customFormat="1" ht="25.4" customHeight="1">
      <c r="A43" s="177" t="s">
        <v>70</v>
      </c>
      <c r="B43" s="177" t="s">
        <v>65</v>
      </c>
      <c r="C43" s="177"/>
      <c r="D43" s="177" t="s">
        <v>71</v>
      </c>
      <c r="E43" s="43">
        <f>'Fixed Charge'!E17+'Fixed Charge'!E16</f>
        <v>108800</v>
      </c>
      <c r="F43" s="43">
        <f>'Fixed Charge'!F17+'Fixed Charge'!F16</f>
        <v>108800</v>
      </c>
      <c r="G43" s="43">
        <f>'Fixed Charge'!G17+'Fixed Charge'!G16</f>
        <v>108800</v>
      </c>
      <c r="H43" s="43">
        <f>'Fixed Charge'!H17+'Fixed Charge'!H16</f>
        <v>108800</v>
      </c>
      <c r="I43" s="43">
        <f>'Fixed Charge'!I17+'Fixed Charge'!I16</f>
        <v>108800</v>
      </c>
      <c r="J43" s="43">
        <f>'Fixed Charge'!J17+'Fixed Charge'!J16</f>
        <v>108800</v>
      </c>
      <c r="K43" s="43">
        <f>'Fixed Charge'!K17+'Fixed Charge'!K16</f>
        <v>108800</v>
      </c>
      <c r="L43" s="43">
        <f>'Fixed Charge'!L17+'Fixed Charge'!L16</f>
        <v>108800</v>
      </c>
      <c r="M43" s="43">
        <f>'Fixed Charge'!M17+'Fixed Charge'!M16</f>
        <v>108800</v>
      </c>
      <c r="N43" s="43">
        <f>'Fixed Charge'!N17+'Fixed Charge'!N16</f>
        <v>108800</v>
      </c>
      <c r="O43" s="43">
        <f>'Fixed Charge'!O17+'Fixed Charge'!O16</f>
        <v>108800</v>
      </c>
      <c r="P43" s="43">
        <f>'Fixed Charge'!P17+'Fixed Charge'!P16</f>
        <v>108800</v>
      </c>
      <c r="Q43" s="220">
        <f>SUM(E43:P43)</f>
        <v>1305600</v>
      </c>
      <c r="R43" s="220">
        <v>1629749.05</v>
      </c>
      <c r="S43" s="222">
        <f>Q43/$Q$16</f>
        <v>1.6391665015112671E-2</v>
      </c>
      <c r="T43" s="220"/>
      <c r="U43" s="220"/>
      <c r="V43" s="283"/>
      <c r="W43" s="40"/>
    </row>
    <row r="44" spans="1:28" s="190" customFormat="1" ht="25.4" customHeight="1">
      <c r="A44" s="177" t="s">
        <v>72</v>
      </c>
      <c r="B44" s="177" t="s">
        <v>65</v>
      </c>
      <c r="C44" s="177"/>
      <c r="D44" s="177" t="s">
        <v>73</v>
      </c>
      <c r="E44" s="43">
        <f>'Fixed Charge'!E13</f>
        <v>677.37463850490565</v>
      </c>
      <c r="F44" s="43">
        <f>'Fixed Charge'!F13</f>
        <v>687.53035082264148</v>
      </c>
      <c r="G44" s="43">
        <f>'Fixed Charge'!G13</f>
        <v>711.39236192037731</v>
      </c>
      <c r="H44" s="43">
        <f>'Fixed Charge'!H13</f>
        <v>692.11262419471689</v>
      </c>
      <c r="I44" s="43">
        <f>'Fixed Charge'!I13</f>
        <v>757.44469524566023</v>
      </c>
      <c r="J44" s="43">
        <f>'Fixed Charge'!J13</f>
        <v>720.38947546981137</v>
      </c>
      <c r="K44" s="43">
        <f>'Fixed Charge'!K13</f>
        <v>795.51039641094326</v>
      </c>
      <c r="L44" s="43">
        <f>'Fixed Charge'!L13</f>
        <v>766.7655188524526</v>
      </c>
      <c r="M44" s="43">
        <f>'Fixed Charge'!M13</f>
        <v>687.6257285603773</v>
      </c>
      <c r="N44" s="43">
        <f>'Fixed Charge'!N13</f>
        <v>963.03785458415086</v>
      </c>
      <c r="O44" s="43">
        <f>'Fixed Charge'!O13</f>
        <v>827.64378859358487</v>
      </c>
      <c r="P44" s="43">
        <f>'Fixed Charge'!P13</f>
        <v>902.55025691660364</v>
      </c>
      <c r="Q44" s="220">
        <f>SUM(E44:P44)</f>
        <v>9189.3776900762241</v>
      </c>
      <c r="R44" s="220">
        <v>262762.53999999998</v>
      </c>
      <c r="S44" s="222">
        <f>Q44/$Q$16</f>
        <v>1.1537163050940512E-4</v>
      </c>
      <c r="T44" s="220"/>
      <c r="U44" s="220"/>
      <c r="V44" s="283"/>
      <c r="W44" s="40"/>
    </row>
    <row r="45" spans="1:28" s="190" customFormat="1" ht="25.4" customHeight="1">
      <c r="A45" s="177" t="s">
        <v>74</v>
      </c>
      <c r="B45" s="177" t="s">
        <v>65</v>
      </c>
      <c r="C45" s="177"/>
      <c r="D45" s="177" t="s">
        <v>75</v>
      </c>
      <c r="E45" s="43">
        <f>'Fixed Charge'!E22+'Fixed Charge'!E23+'Fixed Charge'!E21</f>
        <v>0</v>
      </c>
      <c r="F45" s="43">
        <f>'Fixed Charge'!F22+'Fixed Charge'!F23+'Fixed Charge'!F21</f>
        <v>0</v>
      </c>
      <c r="G45" s="43">
        <f>'Fixed Charge'!G22+'Fixed Charge'!G23+'Fixed Charge'!G21</f>
        <v>0</v>
      </c>
      <c r="H45" s="43">
        <f>'Fixed Charge'!H22+'Fixed Charge'!H23+'Fixed Charge'!H21</f>
        <v>0</v>
      </c>
      <c r="I45" s="43">
        <f>'Fixed Charge'!I22+'Fixed Charge'!I23+'Fixed Charge'!I21</f>
        <v>0</v>
      </c>
      <c r="J45" s="43">
        <f>'Fixed Charge'!J22+'Fixed Charge'!J23+'Fixed Charge'!J21</f>
        <v>0</v>
      </c>
      <c r="K45" s="43">
        <f>'Fixed Charge'!K22+'Fixed Charge'!K23+'Fixed Charge'!K21</f>
        <v>0</v>
      </c>
      <c r="L45" s="43">
        <f>'Fixed Charge'!L22+'Fixed Charge'!L23+'Fixed Charge'!L21</f>
        <v>0</v>
      </c>
      <c r="M45" s="43">
        <f>'Fixed Charge'!M22+'Fixed Charge'!M23+'Fixed Charge'!M21</f>
        <v>0</v>
      </c>
      <c r="N45" s="43">
        <f>'Fixed Charge'!N22+'Fixed Charge'!N23+'Fixed Charge'!N21</f>
        <v>0</v>
      </c>
      <c r="O45" s="43">
        <f>'Fixed Charge'!O22+'Fixed Charge'!O23+'Fixed Charge'!O21</f>
        <v>0</v>
      </c>
      <c r="P45" s="43">
        <f>'Fixed Charge'!P22+'Fixed Charge'!P23+'Fixed Charge'!P21</f>
        <v>0</v>
      </c>
      <c r="Q45" s="220">
        <f>SUM(E45:P45)</f>
        <v>0</v>
      </c>
      <c r="R45" s="220">
        <v>342064.34</v>
      </c>
      <c r="S45" s="222">
        <f>Q45/$Q$16</f>
        <v>0</v>
      </c>
      <c r="T45" s="220"/>
      <c r="U45" s="220"/>
      <c r="V45" s="283"/>
      <c r="W45" s="40"/>
    </row>
    <row r="46" spans="1:28" s="190" customFormat="1" ht="25.4" customHeight="1">
      <c r="A46" s="177" t="s">
        <v>76</v>
      </c>
      <c r="B46" s="177" t="s">
        <v>65</v>
      </c>
      <c r="C46" s="177"/>
      <c r="D46" s="190" t="s">
        <v>77</v>
      </c>
      <c r="E46" s="43">
        <f>'Fixed Charge'!E18+'Fixed Charge'!E19</f>
        <v>0</v>
      </c>
      <c r="F46" s="43">
        <f>'Fixed Charge'!F18+'Fixed Charge'!F19</f>
        <v>0</v>
      </c>
      <c r="G46" s="43">
        <f>'Fixed Charge'!G18+'Fixed Charge'!G19</f>
        <v>0</v>
      </c>
      <c r="H46" s="43">
        <f>'Fixed Charge'!H18+'Fixed Charge'!H19</f>
        <v>0</v>
      </c>
      <c r="I46" s="43">
        <f>'Fixed Charge'!I18+'Fixed Charge'!I19</f>
        <v>0</v>
      </c>
      <c r="J46" s="43">
        <f>'Fixed Charge'!J18+'Fixed Charge'!J19</f>
        <v>0</v>
      </c>
      <c r="K46" s="43">
        <f>'Fixed Charge'!K18+'Fixed Charge'!K19</f>
        <v>0</v>
      </c>
      <c r="L46" s="43">
        <f>'Fixed Charge'!L18+'Fixed Charge'!L19</f>
        <v>0</v>
      </c>
      <c r="M46" s="43">
        <f>'Fixed Charge'!M18+'Fixed Charge'!M19</f>
        <v>0</v>
      </c>
      <c r="N46" s="43">
        <f>'Fixed Charge'!N18+'Fixed Charge'!N19</f>
        <v>0</v>
      </c>
      <c r="O46" s="43">
        <f>'Fixed Charge'!O18+'Fixed Charge'!O19</f>
        <v>0</v>
      </c>
      <c r="P46" s="43">
        <f>'Fixed Charge'!P18+'Fixed Charge'!P19</f>
        <v>0</v>
      </c>
      <c r="Q46" s="220">
        <f>SUM(E46:P46)</f>
        <v>0</v>
      </c>
      <c r="R46" s="220">
        <v>0</v>
      </c>
      <c r="S46" s="222"/>
      <c r="T46" s="220"/>
      <c r="U46" s="220"/>
      <c r="V46" s="283"/>
      <c r="W46" s="224"/>
    </row>
    <row r="47" spans="1:28" s="190" customFormat="1" ht="25.4" customHeight="1">
      <c r="A47" s="177"/>
      <c r="B47" s="177"/>
      <c r="C47" s="206"/>
      <c r="D47" s="206" t="s">
        <v>78</v>
      </c>
      <c r="E47" s="52">
        <f>SUBTOTAL(9,E43:E46)</f>
        <v>109477.3746385049</v>
      </c>
      <c r="F47" s="52">
        <f t="shared" ref="F47:Q47" si="20">SUBTOTAL(9,F43:F46)</f>
        <v>109487.53035082264</v>
      </c>
      <c r="G47" s="52">
        <f t="shared" si="20"/>
        <v>109511.39236192037</v>
      </c>
      <c r="H47" s="52">
        <f t="shared" si="20"/>
        <v>109492.11262419472</v>
      </c>
      <c r="I47" s="52">
        <f t="shared" si="20"/>
        <v>109557.44469524566</v>
      </c>
      <c r="J47" s="52">
        <f t="shared" si="20"/>
        <v>109520.38947546981</v>
      </c>
      <c r="K47" s="52">
        <f t="shared" si="20"/>
        <v>109595.51039641094</v>
      </c>
      <c r="L47" s="52">
        <f t="shared" si="20"/>
        <v>109566.76551885245</v>
      </c>
      <c r="M47" s="52">
        <f t="shared" si="20"/>
        <v>109487.62572856038</v>
      </c>
      <c r="N47" s="52">
        <f t="shared" si="20"/>
        <v>109763.03785458415</v>
      </c>
      <c r="O47" s="52">
        <f t="shared" si="20"/>
        <v>109627.64378859359</v>
      </c>
      <c r="P47" s="52">
        <f t="shared" si="20"/>
        <v>109702.5502569166</v>
      </c>
      <c r="Q47" s="52">
        <f t="shared" si="20"/>
        <v>1314789.3776900761</v>
      </c>
      <c r="R47" s="52">
        <v>2234575.9300000002</v>
      </c>
      <c r="S47" s="222">
        <f>Q47/$Q$16</f>
        <v>1.6507036645622076E-2</v>
      </c>
      <c r="T47" s="220"/>
      <c r="U47" s="220"/>
      <c r="V47" s="283"/>
      <c r="W47" s="40"/>
    </row>
    <row r="48" spans="1:28" s="190" customFormat="1" ht="25.4" customHeight="1">
      <c r="A48" s="177"/>
      <c r="B48" s="177"/>
      <c r="C48" s="177"/>
      <c r="D48" s="177"/>
      <c r="E48" s="208"/>
      <c r="F48" s="208"/>
      <c r="G48" s="208"/>
      <c r="H48" s="208"/>
      <c r="I48" s="208"/>
      <c r="L48" s="152"/>
      <c r="T48" s="283"/>
      <c r="U48" s="283"/>
      <c r="V48" s="283"/>
      <c r="W48" s="224"/>
    </row>
    <row r="49" spans="1:23" s="190" customFormat="1" ht="25.4" customHeight="1">
      <c r="A49" s="177" t="s">
        <v>79</v>
      </c>
      <c r="B49" s="177" t="s">
        <v>65</v>
      </c>
      <c r="C49" s="177"/>
      <c r="D49" s="177" t="s">
        <v>80</v>
      </c>
      <c r="E49" s="27">
        <f>'Fixed Charge'!E27</f>
        <v>0</v>
      </c>
      <c r="F49" s="27">
        <f>'Fixed Charge'!F27</f>
        <v>0</v>
      </c>
      <c r="G49" s="27">
        <f>'Fixed Charge'!G27</f>
        <v>0</v>
      </c>
      <c r="H49" s="27">
        <f>'Fixed Charge'!H27</f>
        <v>0</v>
      </c>
      <c r="I49" s="27">
        <f>'Fixed Charge'!I27</f>
        <v>0</v>
      </c>
      <c r="J49" s="27">
        <f>'Fixed Charge'!J27</f>
        <v>0</v>
      </c>
      <c r="K49" s="27">
        <f>'Fixed Charge'!K27</f>
        <v>0</v>
      </c>
      <c r="L49" s="27">
        <f>'Fixed Charge'!L27</f>
        <v>0</v>
      </c>
      <c r="M49" s="27">
        <f>'Fixed Charge'!M27</f>
        <v>0</v>
      </c>
      <c r="N49" s="27">
        <f>'Fixed Charge'!N27</f>
        <v>0</v>
      </c>
      <c r="O49" s="27">
        <f>'Fixed Charge'!O27</f>
        <v>0</v>
      </c>
      <c r="P49" s="27">
        <f>'Fixed Charge'!P27</f>
        <v>0</v>
      </c>
      <c r="Q49" s="220">
        <f>SUM(E49:P49)</f>
        <v>0</v>
      </c>
      <c r="R49" s="226">
        <v>0</v>
      </c>
      <c r="T49" s="283"/>
      <c r="U49" s="283"/>
      <c r="V49" s="283"/>
      <c r="W49" s="224"/>
    </row>
    <row r="50" spans="1:23" s="190" customFormat="1" ht="25.4" customHeight="1">
      <c r="A50" s="177" t="s">
        <v>81</v>
      </c>
      <c r="B50" s="177"/>
      <c r="C50" s="177"/>
      <c r="D50" s="177" t="s">
        <v>82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220">
        <f>SUM(E50:P50)</f>
        <v>0</v>
      </c>
      <c r="R50" s="220">
        <v>0</v>
      </c>
      <c r="T50" s="283"/>
      <c r="U50" s="283"/>
      <c r="V50" s="283"/>
      <c r="W50" s="224"/>
    </row>
    <row r="51" spans="1:23" s="190" customFormat="1" ht="25.4" customHeight="1">
      <c r="A51" s="177" t="s">
        <v>83</v>
      </c>
      <c r="B51" s="177" t="s">
        <v>65</v>
      </c>
      <c r="C51" s="177"/>
      <c r="D51" s="177" t="s">
        <v>84</v>
      </c>
      <c r="E51" s="43">
        <f>'Fixed Charge'!E24</f>
        <v>0</v>
      </c>
      <c r="F51" s="43">
        <f>'Fixed Charge'!F24</f>
        <v>0</v>
      </c>
      <c r="G51" s="43">
        <f>'Fixed Charge'!G24</f>
        <v>0</v>
      </c>
      <c r="H51" s="43">
        <f>'Fixed Charge'!H24</f>
        <v>0</v>
      </c>
      <c r="I51" s="43">
        <f>'Fixed Charge'!I24</f>
        <v>0</v>
      </c>
      <c r="J51" s="43">
        <f>'Fixed Charge'!J24</f>
        <v>0</v>
      </c>
      <c r="K51" s="43">
        <f>'Fixed Charge'!K24</f>
        <v>0</v>
      </c>
      <c r="L51" s="43">
        <f>'Fixed Charge'!L24</f>
        <v>0</v>
      </c>
      <c r="M51" s="43">
        <f>'Fixed Charge'!M24</f>
        <v>0</v>
      </c>
      <c r="N51" s="43">
        <f>'Fixed Charge'!N24</f>
        <v>0</v>
      </c>
      <c r="O51" s="43">
        <f>'Fixed Charge'!O24</f>
        <v>0</v>
      </c>
      <c r="P51" s="43">
        <f>'Fixed Charge'!P24</f>
        <v>0</v>
      </c>
      <c r="Q51" s="220">
        <f>SUM(E51:P51)</f>
        <v>0</v>
      </c>
      <c r="R51" s="220">
        <v>0</v>
      </c>
      <c r="T51" s="283"/>
      <c r="U51" s="283"/>
      <c r="V51" s="283"/>
      <c r="W51" s="40"/>
    </row>
    <row r="52" spans="1:23" s="190" customFormat="1" ht="25.4" customHeight="1">
      <c r="A52" s="177"/>
      <c r="B52" s="177"/>
      <c r="C52" s="206"/>
      <c r="D52" s="206" t="s">
        <v>85</v>
      </c>
      <c r="E52" s="213">
        <f>E49-E50-E51</f>
        <v>0</v>
      </c>
      <c r="F52" s="213">
        <f t="shared" ref="F52:Q52" si="21">F49-F50-F51</f>
        <v>0</v>
      </c>
      <c r="G52" s="213">
        <f t="shared" si="21"/>
        <v>0</v>
      </c>
      <c r="H52" s="213">
        <f t="shared" si="21"/>
        <v>0</v>
      </c>
      <c r="I52" s="213">
        <f t="shared" si="21"/>
        <v>0</v>
      </c>
      <c r="J52" s="213">
        <f t="shared" si="21"/>
        <v>0</v>
      </c>
      <c r="K52" s="213">
        <f t="shared" si="21"/>
        <v>0</v>
      </c>
      <c r="L52" s="213">
        <f t="shared" si="21"/>
        <v>0</v>
      </c>
      <c r="M52" s="213">
        <f t="shared" si="21"/>
        <v>0</v>
      </c>
      <c r="N52" s="213">
        <f t="shared" si="21"/>
        <v>0</v>
      </c>
      <c r="O52" s="213">
        <f t="shared" si="21"/>
        <v>0</v>
      </c>
      <c r="P52" s="213">
        <f t="shared" si="21"/>
        <v>0</v>
      </c>
      <c r="Q52" s="213">
        <f t="shared" si="21"/>
        <v>0</v>
      </c>
      <c r="R52" s="213">
        <v>0</v>
      </c>
      <c r="T52" s="283"/>
      <c r="U52" s="283"/>
      <c r="V52" s="283"/>
      <c r="W52" s="40"/>
    </row>
    <row r="53" spans="1:23" s="190" customFormat="1" ht="25.4" customHeight="1">
      <c r="A53" s="177"/>
      <c r="B53" s="177"/>
      <c r="C53" s="210"/>
      <c r="D53" s="210" t="s">
        <v>86</v>
      </c>
      <c r="E53" s="68">
        <f>E41-E47+E52</f>
        <v>-448327.62632152403</v>
      </c>
      <c r="F53" s="68">
        <f t="shared" ref="F53:Q53" si="22">F41-F47+F52</f>
        <v>1459494.1635737058</v>
      </c>
      <c r="G53" s="68">
        <f t="shared" si="22"/>
        <v>-916329.71542984503</v>
      </c>
      <c r="H53" s="68">
        <f t="shared" si="22"/>
        <v>-1286022.4432732516</v>
      </c>
      <c r="I53" s="68">
        <f t="shared" si="22"/>
        <v>-143049.44551411335</v>
      </c>
      <c r="J53" s="68">
        <f t="shared" si="22"/>
        <v>-1254229.9710415076</v>
      </c>
      <c r="K53" s="68">
        <f t="shared" si="22"/>
        <v>327349.05823377729</v>
      </c>
      <c r="L53" s="68">
        <f t="shared" si="22"/>
        <v>646261.73163963854</v>
      </c>
      <c r="M53" s="68">
        <f t="shared" si="22"/>
        <v>-1687563.4375964846</v>
      </c>
      <c r="N53" s="68">
        <f t="shared" si="22"/>
        <v>416119.65019824565</v>
      </c>
      <c r="O53" s="68">
        <f t="shared" si="22"/>
        <v>-18381.732433877187</v>
      </c>
      <c r="P53" s="68">
        <f t="shared" si="22"/>
        <v>173282.65335440467</v>
      </c>
      <c r="Q53" s="68">
        <f t="shared" si="22"/>
        <v>-2731397.1146108275</v>
      </c>
      <c r="R53" s="68">
        <v>11050526.980791301</v>
      </c>
      <c r="S53" s="222">
        <f>Q53/$Q$16</f>
        <v>-3.4292391640583633E-2</v>
      </c>
      <c r="T53" s="220"/>
      <c r="U53" s="220"/>
      <c r="V53" s="283"/>
      <c r="W53" s="40"/>
    </row>
    <row r="54" spans="1:23" s="190" customFormat="1" ht="25.4" customHeight="1">
      <c r="A54" s="177"/>
      <c r="B54" s="177"/>
      <c r="C54" s="210"/>
      <c r="D54" s="210" t="s">
        <v>87</v>
      </c>
      <c r="E54" s="211">
        <f>IF(E53=0,0,E53/E16)</f>
        <v>-7.3037022702659465E-2</v>
      </c>
      <c r="F54" s="211">
        <f t="shared" ref="F54:Q54" si="23">IF(F53=0,0,F53/F16)</f>
        <v>0.18574116379473526</v>
      </c>
      <c r="G54" s="211">
        <f t="shared" si="23"/>
        <v>-0.16640488189719696</v>
      </c>
      <c r="H54" s="211">
        <f t="shared" si="23"/>
        <v>-0.24713723477040517</v>
      </c>
      <c r="I54" s="211">
        <f t="shared" si="23"/>
        <v>-2.1101471197045939E-2</v>
      </c>
      <c r="J54" s="211">
        <f t="shared" si="23"/>
        <v>-0.23070857331559266</v>
      </c>
      <c r="K54" s="211">
        <f t="shared" si="23"/>
        <v>4.4409992690038189E-2</v>
      </c>
      <c r="L54" s="211">
        <f t="shared" si="23"/>
        <v>8.5186422159508973E-2</v>
      </c>
      <c r="M54" s="211">
        <f t="shared" si="23"/>
        <v>-0.34438882365005874</v>
      </c>
      <c r="N54" s="211">
        <f t="shared" si="23"/>
        <v>5.0164889569850372E-2</v>
      </c>
      <c r="O54" s="211">
        <f t="shared" si="23"/>
        <v>-2.6105994427871441E-3</v>
      </c>
      <c r="P54" s="211">
        <f t="shared" si="23"/>
        <v>2.2998747823680544E-2</v>
      </c>
      <c r="Q54" s="211">
        <f t="shared" si="23"/>
        <v>-3.4292391640583633E-2</v>
      </c>
      <c r="R54" s="68">
        <v>0.12153042549538</v>
      </c>
      <c r="T54" s="299"/>
      <c r="U54" s="299"/>
      <c r="V54" s="283"/>
      <c r="W54" s="40"/>
    </row>
    <row r="55" spans="1:23" s="190" customFormat="1" ht="25.4" customHeight="1">
      <c r="A55" s="177"/>
      <c r="B55" s="177"/>
      <c r="C55" s="210"/>
      <c r="D55" s="210"/>
      <c r="E55" s="209"/>
      <c r="F55" s="209"/>
      <c r="G55" s="209"/>
      <c r="H55" s="209"/>
      <c r="I55" s="209"/>
      <c r="L55" s="152"/>
      <c r="T55" s="283"/>
      <c r="U55" s="283"/>
      <c r="V55" s="283"/>
      <c r="W55" s="224"/>
    </row>
    <row r="56" spans="1:23" s="190" customFormat="1" ht="25.4" customHeight="1">
      <c r="A56" s="177" t="s">
        <v>88</v>
      </c>
      <c r="B56" s="177" t="s">
        <v>89</v>
      </c>
      <c r="C56" s="210"/>
      <c r="D56" s="177" t="s">
        <v>90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220">
        <f>SUM(E56:P56)</f>
        <v>0</v>
      </c>
      <c r="R56" s="220">
        <v>0</v>
      </c>
      <c r="T56" s="61"/>
      <c r="U56" s="61"/>
      <c r="V56" s="61"/>
      <c r="W56" s="224"/>
    </row>
    <row r="57" spans="1:23" s="190" customFormat="1" ht="25.4" customHeight="1">
      <c r="A57" s="177"/>
      <c r="B57" s="177"/>
      <c r="C57" s="210"/>
      <c r="D57" s="214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311"/>
      <c r="R57" s="190" t="s">
        <v>91</v>
      </c>
      <c r="S57" s="191"/>
      <c r="T57" s="61"/>
      <c r="U57" s="61"/>
      <c r="V57" s="61"/>
      <c r="W57" s="224"/>
    </row>
    <row r="58" spans="1:23" s="190" customFormat="1" ht="25.4" customHeight="1">
      <c r="A58" s="177" t="s">
        <v>92</v>
      </c>
      <c r="B58" s="177" t="s">
        <v>65</v>
      </c>
      <c r="C58" s="205"/>
      <c r="D58" s="177" t="s">
        <v>93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220">
        <f>SUM(E58:P58)</f>
        <v>0</v>
      </c>
      <c r="R58" s="220">
        <v>0</v>
      </c>
      <c r="T58" s="283"/>
      <c r="U58" s="283"/>
      <c r="V58" s="283"/>
      <c r="W58" s="224"/>
    </row>
    <row r="59" spans="1:23" s="190" customFormat="1" ht="25.4" customHeight="1">
      <c r="A59" s="177"/>
      <c r="B59" s="177"/>
      <c r="C59" s="177"/>
      <c r="D59" s="177"/>
      <c r="E59" s="212"/>
      <c r="F59" s="212"/>
      <c r="G59" s="212"/>
      <c r="H59" s="212"/>
      <c r="I59" s="212"/>
      <c r="L59" s="152"/>
      <c r="T59" s="283"/>
      <c r="U59" s="283"/>
      <c r="V59" s="283"/>
      <c r="W59" s="224"/>
    </row>
    <row r="60" spans="1:23" s="190" customFormat="1" ht="25.4" customHeight="1">
      <c r="A60" s="177" t="s">
        <v>94</v>
      </c>
      <c r="B60" s="177" t="s">
        <v>65</v>
      </c>
      <c r="C60" s="177"/>
      <c r="D60" s="177" t="s">
        <v>95</v>
      </c>
      <c r="E60" s="43">
        <f>'Fixed Charge'!E20</f>
        <v>61383.61</v>
      </c>
      <c r="F60" s="43">
        <f>'Fixed Charge'!F20</f>
        <v>78576.78</v>
      </c>
      <c r="G60" s="43">
        <f>'Fixed Charge'!G20</f>
        <v>55066.28</v>
      </c>
      <c r="H60" s="43">
        <f>'Fixed Charge'!H20</f>
        <v>52036.77</v>
      </c>
      <c r="I60" s="43">
        <f>'Fixed Charge'!I20</f>
        <v>67791.22</v>
      </c>
      <c r="J60" s="43">
        <f>'Fixed Charge'!J20</f>
        <v>54364.26</v>
      </c>
      <c r="K60" s="43">
        <f>'Fixed Charge'!K20</f>
        <v>73710.679999999993</v>
      </c>
      <c r="L60" s="43">
        <f>'Fixed Charge'!L20</f>
        <v>75864.41</v>
      </c>
      <c r="M60" s="43">
        <f>'Fixed Charge'!M20</f>
        <v>49001.69</v>
      </c>
      <c r="N60" s="43">
        <f>'Fixed Charge'!N20</f>
        <v>82950.38</v>
      </c>
      <c r="O60" s="43">
        <f>'Fixed Charge'!O20</f>
        <v>70411.92</v>
      </c>
      <c r="P60" s="43">
        <f>'Fixed Charge'!P20</f>
        <v>75344.39</v>
      </c>
      <c r="Q60" s="220">
        <f>SUM(E60:P60)</f>
        <v>796502.39</v>
      </c>
      <c r="R60" s="220">
        <v>1818561.38842</v>
      </c>
      <c r="S60" s="222">
        <f>Q60/$Q$16</f>
        <v>1.000000027620759E-2</v>
      </c>
      <c r="T60" s="220"/>
      <c r="U60" s="220"/>
      <c r="V60" s="283"/>
      <c r="W60" s="40"/>
    </row>
    <row r="61" spans="1:23" s="190" customFormat="1" ht="25.4" customHeight="1">
      <c r="A61" s="177"/>
      <c r="B61" s="177"/>
      <c r="C61" s="206"/>
      <c r="D61" s="206" t="s">
        <v>96</v>
      </c>
      <c r="E61" s="215">
        <f>E53-E56-E58-E60</f>
        <v>-509711.23632152402</v>
      </c>
      <c r="F61" s="215">
        <f t="shared" ref="F61:R61" si="24">F53-F56-F58-F60</f>
        <v>1380917.3835737058</v>
      </c>
      <c r="G61" s="215">
        <f t="shared" si="24"/>
        <v>-971395.99542984506</v>
      </c>
      <c r="H61" s="215">
        <f t="shared" si="24"/>
        <v>-1338059.2132732517</v>
      </c>
      <c r="I61" s="215">
        <f t="shared" si="24"/>
        <v>-210840.66551411335</v>
      </c>
      <c r="J61" s="215">
        <f t="shared" si="24"/>
        <v>-1308594.2310415076</v>
      </c>
      <c r="K61" s="215">
        <f t="shared" si="24"/>
        <v>253638.3782337773</v>
      </c>
      <c r="L61" s="215">
        <f t="shared" si="24"/>
        <v>570397.32163963851</v>
      </c>
      <c r="M61" s="215">
        <f t="shared" si="24"/>
        <v>-1736565.1275964845</v>
      </c>
      <c r="N61" s="215">
        <f t="shared" si="24"/>
        <v>333169.27019824565</v>
      </c>
      <c r="O61" s="215">
        <f t="shared" si="24"/>
        <v>-88793.652433877185</v>
      </c>
      <c r="P61" s="215">
        <f t="shared" si="24"/>
        <v>97938.263354404669</v>
      </c>
      <c r="Q61" s="215">
        <f t="shared" si="24"/>
        <v>-3527899.5046108277</v>
      </c>
      <c r="R61" s="215">
        <f t="shared" si="24"/>
        <v>9231965.5923712999</v>
      </c>
      <c r="S61" s="222">
        <f>Q61/$Q$16</f>
        <v>-4.4292391916791227E-2</v>
      </c>
      <c r="T61" s="220"/>
      <c r="U61" s="220"/>
      <c r="V61" s="283"/>
      <c r="W61" s="40"/>
    </row>
    <row r="62" spans="1:23" s="190" customFormat="1" ht="25.4" customHeight="1">
      <c r="A62" s="177"/>
      <c r="B62" s="177"/>
      <c r="C62" s="206"/>
      <c r="D62" s="206" t="s">
        <v>97</v>
      </c>
      <c r="E62" s="211">
        <f>IF(E61=0,0,E61/E16)</f>
        <v>-8.3037022376839603E-2</v>
      </c>
      <c r="F62" s="211">
        <f t="shared" ref="F62:R62" si="25">IF(F61=0,0,F61/F16)</f>
        <v>0.17574116315841493</v>
      </c>
      <c r="G62" s="211">
        <f t="shared" si="25"/>
        <v>-0.17640488262359436</v>
      </c>
      <c r="H62" s="211">
        <f t="shared" si="25"/>
        <v>-0.25713723400171801</v>
      </c>
      <c r="I62" s="211">
        <f t="shared" si="25"/>
        <v>-3.1101471344557669E-2</v>
      </c>
      <c r="J62" s="211">
        <f t="shared" si="25"/>
        <v>-0.24070857423531464</v>
      </c>
      <c r="K62" s="211">
        <f t="shared" si="25"/>
        <v>3.4409992147375952E-2</v>
      </c>
      <c r="L62" s="211">
        <f t="shared" si="25"/>
        <v>7.518642163225249E-2</v>
      </c>
      <c r="M62" s="211">
        <f t="shared" si="25"/>
        <v>-0.35438882365005869</v>
      </c>
      <c r="N62" s="211">
        <f t="shared" si="25"/>
        <v>4.0164889208188365E-2</v>
      </c>
      <c r="O62" s="211">
        <f t="shared" si="25"/>
        <v>-1.2610599158744335E-2</v>
      </c>
      <c r="P62" s="211">
        <f t="shared" si="25"/>
        <v>1.2998747292784982E-2</v>
      </c>
      <c r="Q62" s="227">
        <f t="shared" si="25"/>
        <v>-4.4292391916791227E-2</v>
      </c>
      <c r="R62" s="211">
        <f t="shared" si="25"/>
        <v>0.10153042552177524</v>
      </c>
      <c r="T62" s="299"/>
      <c r="U62" s="299"/>
      <c r="V62" s="283"/>
      <c r="W62" s="40"/>
    </row>
    <row r="63" spans="1:23" s="190" customFormat="1" ht="25.4" customHeight="1">
      <c r="A63" s="177"/>
      <c r="B63" s="177"/>
      <c r="C63" s="177"/>
      <c r="D63" s="203"/>
      <c r="E63" s="216"/>
      <c r="F63" s="217"/>
      <c r="G63" s="217"/>
      <c r="H63" s="218"/>
      <c r="I63" s="218"/>
      <c r="L63" s="152"/>
      <c r="S63" s="223"/>
      <c r="T63" s="283"/>
      <c r="U63" s="283"/>
      <c r="V63" s="283"/>
      <c r="W63" s="224"/>
    </row>
    <row r="64" spans="1:23" s="190" customFormat="1" ht="25.4" customHeight="1">
      <c r="A64" s="177" t="s">
        <v>98</v>
      </c>
      <c r="B64" s="177" t="s">
        <v>99</v>
      </c>
      <c r="C64" s="177"/>
      <c r="D64" s="205" t="s">
        <v>100</v>
      </c>
      <c r="E64" s="73">
        <f>'Rooms Summary'!E107</f>
        <v>4526</v>
      </c>
      <c r="F64" s="73">
        <f>'Rooms Summary'!F107</f>
        <v>4088</v>
      </c>
      <c r="G64" s="73">
        <f>'Rooms Summary'!G107</f>
        <v>4526</v>
      </c>
      <c r="H64" s="73">
        <f>'Rooms Summary'!H107</f>
        <v>4380</v>
      </c>
      <c r="I64" s="73">
        <f>'Rooms Summary'!I107</f>
        <v>4526</v>
      </c>
      <c r="J64" s="73">
        <f>'Rooms Summary'!J107</f>
        <v>4380</v>
      </c>
      <c r="K64" s="73">
        <f>'Rooms Summary'!K107</f>
        <v>4526</v>
      </c>
      <c r="L64" s="73">
        <f>'Rooms Summary'!L107</f>
        <v>4526</v>
      </c>
      <c r="M64" s="73">
        <f>'Rooms Summary'!M107</f>
        <v>4380</v>
      </c>
      <c r="N64" s="73">
        <f>'Rooms Summary'!N107</f>
        <v>4526</v>
      </c>
      <c r="O64" s="73">
        <f>'Rooms Summary'!O107</f>
        <v>4380</v>
      </c>
      <c r="P64" s="73">
        <f>'Rooms Summary'!P107</f>
        <v>4526</v>
      </c>
      <c r="Q64" s="228">
        <f>SUM(E64:P64)</f>
        <v>53290</v>
      </c>
      <c r="R64" s="228">
        <v>67962</v>
      </c>
      <c r="T64" s="283"/>
      <c r="U64" s="283"/>
      <c r="V64" s="283"/>
      <c r="W64" s="40"/>
    </row>
    <row r="65" spans="1:23" s="190" customFormat="1" ht="25.4" customHeight="1">
      <c r="A65" s="177" t="s">
        <v>101</v>
      </c>
      <c r="B65" s="177" t="s">
        <v>99</v>
      </c>
      <c r="C65" s="177"/>
      <c r="D65" s="205" t="s">
        <v>102</v>
      </c>
      <c r="E65" s="73">
        <f>'Rooms Summary'!E111</f>
        <v>1790</v>
      </c>
      <c r="F65" s="73">
        <f>'Rooms Summary'!F111</f>
        <v>2528</v>
      </c>
      <c r="G65" s="73">
        <f>'Rooms Summary'!G111</f>
        <v>1941</v>
      </c>
      <c r="H65" s="73">
        <f>'Rooms Summary'!H111</f>
        <v>1984</v>
      </c>
      <c r="I65" s="73">
        <f>'Rooms Summary'!I111</f>
        <v>2233</v>
      </c>
      <c r="J65" s="73">
        <f>'Rooms Summary'!J111</f>
        <v>1940</v>
      </c>
      <c r="K65" s="73">
        <f>'Rooms Summary'!K111</f>
        <v>3002</v>
      </c>
      <c r="L65" s="73">
        <f>'Rooms Summary'!L111</f>
        <v>3199</v>
      </c>
      <c r="M65" s="73">
        <f>'Rooms Summary'!M111</f>
        <v>1835</v>
      </c>
      <c r="N65" s="73">
        <f>'Rooms Summary'!N111</f>
        <v>2301</v>
      </c>
      <c r="O65" s="73">
        <f>'Rooms Summary'!O111</f>
        <v>2194</v>
      </c>
      <c r="P65" s="73">
        <f>'Rooms Summary'!P111</f>
        <v>2482</v>
      </c>
      <c r="Q65" s="228">
        <f>SUM(E65:P65)</f>
        <v>27429</v>
      </c>
      <c r="R65" s="228">
        <v>41723</v>
      </c>
      <c r="T65" s="283"/>
      <c r="U65" s="283"/>
      <c r="V65" s="283"/>
      <c r="W65" s="40"/>
    </row>
    <row r="66" spans="1:23" s="190" customFormat="1" ht="25.4" customHeight="1">
      <c r="A66" s="177"/>
      <c r="B66" s="177"/>
      <c r="C66" s="177"/>
      <c r="D66" s="205" t="s">
        <v>103</v>
      </c>
      <c r="E66" s="187">
        <f>IF(E64=0,0,E65/E64)</f>
        <v>0.39549270879363674</v>
      </c>
      <c r="F66" s="187">
        <f t="shared" ref="F66:P66" si="26">IF(F64=0,0,F65/F64)</f>
        <v>0.61839530332681014</v>
      </c>
      <c r="G66" s="187">
        <f t="shared" si="26"/>
        <v>0.42885550154661956</v>
      </c>
      <c r="H66" s="187">
        <f t="shared" si="26"/>
        <v>0.45296803652968037</v>
      </c>
      <c r="I66" s="187">
        <f t="shared" si="26"/>
        <v>0.49337163057887762</v>
      </c>
      <c r="J66" s="187">
        <f t="shared" si="26"/>
        <v>0.44292237442922372</v>
      </c>
      <c r="K66" s="187">
        <f t="shared" si="26"/>
        <v>0.6632788334069819</v>
      </c>
      <c r="L66" s="187">
        <f t="shared" si="26"/>
        <v>0.70680512593901901</v>
      </c>
      <c r="M66" s="187">
        <f t="shared" si="26"/>
        <v>0.41894977168949771</v>
      </c>
      <c r="N66" s="187">
        <f t="shared" si="26"/>
        <v>0.50839593460008836</v>
      </c>
      <c r="O66" s="187">
        <f t="shared" si="26"/>
        <v>0.50091324200913245</v>
      </c>
      <c r="P66" s="187">
        <f t="shared" si="26"/>
        <v>0.54838709677419351</v>
      </c>
      <c r="Q66" s="187">
        <f>IF(Q64=0,0,Q65/Q64)</f>
        <v>0.51471195346218801</v>
      </c>
      <c r="R66" s="187">
        <v>0.61391660045319396</v>
      </c>
      <c r="S66" s="258"/>
      <c r="T66" s="299"/>
      <c r="U66" s="299"/>
      <c r="V66" s="283"/>
      <c r="W66" s="40"/>
    </row>
    <row r="67" spans="1:23" s="191" customFormat="1" ht="25.4" customHeight="1">
      <c r="A67" s="177"/>
      <c r="B67" s="177"/>
      <c r="C67" s="214"/>
      <c r="D67" s="210" t="s">
        <v>104</v>
      </c>
      <c r="E67" s="229">
        <f>IF(E65=0,0,ROUND(E11/E65,2))</f>
        <v>1952.75</v>
      </c>
      <c r="F67" s="229">
        <f t="shared" ref="F67:Q67" si="27">IF(F65=0,0,ROUND(F11/F65,2))</f>
        <v>2329.29</v>
      </c>
      <c r="G67" s="229">
        <f t="shared" si="27"/>
        <v>1321.44</v>
      </c>
      <c r="H67" s="229">
        <f t="shared" si="27"/>
        <v>1333.09</v>
      </c>
      <c r="I67" s="229">
        <f t="shared" si="27"/>
        <v>1663.57</v>
      </c>
      <c r="J67" s="229">
        <f t="shared" si="27"/>
        <v>1348.29</v>
      </c>
      <c r="K67" s="229">
        <f t="shared" si="27"/>
        <v>1453.38</v>
      </c>
      <c r="L67" s="229">
        <f t="shared" si="27"/>
        <v>1506.38</v>
      </c>
      <c r="M67" s="229">
        <f t="shared" si="27"/>
        <v>1375.91</v>
      </c>
      <c r="N67" s="229">
        <f t="shared" si="27"/>
        <v>1806.08</v>
      </c>
      <c r="O67" s="229">
        <f t="shared" si="27"/>
        <v>1482.38</v>
      </c>
      <c r="P67" s="229">
        <f t="shared" si="27"/>
        <v>1577.68</v>
      </c>
      <c r="Q67" s="229">
        <f t="shared" si="27"/>
        <v>1602.49</v>
      </c>
      <c r="R67" s="229">
        <v>1171.9000000000001</v>
      </c>
      <c r="S67" s="259"/>
      <c r="T67" s="298"/>
      <c r="U67" s="298"/>
      <c r="V67" s="283"/>
      <c r="W67" s="40"/>
    </row>
    <row r="68" spans="1:23" s="191" customFormat="1" ht="25.4" customHeight="1">
      <c r="A68" s="177"/>
      <c r="B68" s="177"/>
      <c r="C68" s="214"/>
      <c r="D68" s="210" t="s">
        <v>105</v>
      </c>
      <c r="E68" s="189">
        <f>ROUND(E67*E66,1)</f>
        <v>772.3</v>
      </c>
      <c r="F68" s="189">
        <f t="shared" ref="F68:Q68" si="28">ROUND(F67*F66,1)</f>
        <v>1440.4</v>
      </c>
      <c r="G68" s="189">
        <f t="shared" si="28"/>
        <v>566.70000000000005</v>
      </c>
      <c r="H68" s="189">
        <f t="shared" si="28"/>
        <v>603.79999999999995</v>
      </c>
      <c r="I68" s="189">
        <f t="shared" si="28"/>
        <v>820.8</v>
      </c>
      <c r="J68" s="189">
        <f t="shared" si="28"/>
        <v>597.20000000000005</v>
      </c>
      <c r="K68" s="189">
        <f t="shared" si="28"/>
        <v>964</v>
      </c>
      <c r="L68" s="189">
        <f t="shared" si="28"/>
        <v>1064.7</v>
      </c>
      <c r="M68" s="189">
        <f t="shared" si="28"/>
        <v>576.4</v>
      </c>
      <c r="N68" s="189">
        <f t="shared" si="28"/>
        <v>918.2</v>
      </c>
      <c r="O68" s="189">
        <f t="shared" si="28"/>
        <v>742.5</v>
      </c>
      <c r="P68" s="189">
        <f t="shared" si="28"/>
        <v>865.2</v>
      </c>
      <c r="Q68" s="189">
        <f t="shared" si="28"/>
        <v>824.8</v>
      </c>
      <c r="R68" s="189">
        <v>719</v>
      </c>
      <c r="T68" s="298"/>
      <c r="U68" s="298"/>
      <c r="V68" s="283"/>
      <c r="W68" s="298"/>
    </row>
    <row r="69" spans="1:23" s="190" customFormat="1" ht="25.4" customHeight="1">
      <c r="A69" s="177" t="s">
        <v>106</v>
      </c>
      <c r="B69" s="177" t="s">
        <v>107</v>
      </c>
      <c r="C69" s="205"/>
      <c r="D69" s="205" t="s">
        <v>1265</v>
      </c>
      <c r="E69" s="230">
        <f>'Rooms Summary'!E156+'F&amp;B Summary'!E203+OOD!E98+'A&amp;G'!E196+'R&amp;M'!E195+'S&amp;M'!E194+Laundry!E193</f>
        <v>3478007.9699999993</v>
      </c>
      <c r="F69" s="230">
        <f>'Rooms Summary'!F156+'F&amp;B Summary'!F203+OOD!F98+'A&amp;G'!F196+'R&amp;M'!F195+'S&amp;M'!F194+Laundry!F193</f>
        <v>3235290.56</v>
      </c>
      <c r="G69" s="230">
        <f>'Rooms Summary'!G156+'F&amp;B Summary'!G203+OOD!G98+'A&amp;G'!G196+'R&amp;M'!G195+'S&amp;M'!G194+Laundry!G193</f>
        <v>3252580.8600000003</v>
      </c>
      <c r="H69" s="230">
        <f>'Rooms Summary'!H156+'F&amp;B Summary'!H203+OOD!H98+'A&amp;G'!H196+'R&amp;M'!H195+'S&amp;M'!H194+Laundry!H193</f>
        <v>3346799.4899999998</v>
      </c>
      <c r="I69" s="230">
        <f>'Rooms Summary'!I156+'F&amp;B Summary'!I203+OOD!I98+'A&amp;G'!I196+'R&amp;M'!I195+'S&amp;M'!I194+Laundry!I193</f>
        <v>3506395.38</v>
      </c>
      <c r="J69" s="230">
        <f>'Rooms Summary'!J156+'F&amp;B Summary'!J203+OOD!J98+'A&amp;G'!J196+'R&amp;M'!J195+'S&amp;M'!J194+Laundry!J193</f>
        <v>3381305.8999999994</v>
      </c>
      <c r="K69" s="230">
        <f>'Rooms Summary'!K156+'F&amp;B Summary'!K203+OOD!K98+'A&amp;G'!K196+'R&amp;M'!K195+'S&amp;M'!K194+Laundry!K193</f>
        <v>3449555.9200000004</v>
      </c>
      <c r="L69" s="230">
        <f>'Rooms Summary'!L156+'F&amp;B Summary'!L203+OOD!L98+'A&amp;G'!L196+'R&amp;M'!L195+'S&amp;M'!L194+Laundry!L193</f>
        <v>3445565.9699999993</v>
      </c>
      <c r="M69" s="230">
        <f>'Rooms Summary'!M156+'F&amp;B Summary'!M203+OOD!M98+'A&amp;G'!M196+'R&amp;M'!M195+'S&amp;M'!M194+Laundry!M193</f>
        <v>3394554.62</v>
      </c>
      <c r="N69" s="230">
        <f>'Rooms Summary'!N156+'F&amp;B Summary'!N203+OOD!N98+'A&amp;G'!N196+'R&amp;M'!N195+'S&amp;M'!N194+Laundry!N193</f>
        <v>3762277.330000001</v>
      </c>
      <c r="O69" s="230">
        <f>'Rooms Summary'!O156+'F&amp;B Summary'!O203+OOD!O98+'A&amp;G'!O196+'R&amp;M'!O195+'S&amp;M'!O194+Laundry!O193</f>
        <v>3466957.2900000005</v>
      </c>
      <c r="P69" s="230">
        <f>'Rooms Summary'!P156+'F&amp;B Summary'!P203+OOD!P98+'A&amp;G'!P196+'R&amp;M'!P195+'S&amp;M'!P194+Laundry!P193</f>
        <v>3489062.32</v>
      </c>
      <c r="Q69" s="232">
        <f>SUM(E69:P69)</f>
        <v>41208353.609999999</v>
      </c>
      <c r="R69" s="232">
        <v>34417834.380000003</v>
      </c>
      <c r="S69" s="303">
        <f>Q69/$Q$16</f>
        <v>0.51736636657431745</v>
      </c>
      <c r="T69" s="298"/>
      <c r="U69" s="414"/>
      <c r="V69" s="298"/>
      <c r="W69" s="298"/>
    </row>
    <row r="70" spans="1:23" s="191" customFormat="1" ht="25.4" customHeight="1">
      <c r="A70" s="177" t="s">
        <v>108</v>
      </c>
      <c r="B70" s="177" t="s">
        <v>107</v>
      </c>
      <c r="C70" s="204"/>
      <c r="D70" s="205" t="s">
        <v>1302</v>
      </c>
      <c r="E70" s="231">
        <f>+'Rooms Summary'!E159+'F&amp;B Summary'!E205+OOD!E100+'A&amp;G'!E198+'R&amp;M'!E197+'S&amp;M'!E196+Laundry!E195+'Staff Canteen'!E193</f>
        <v>289</v>
      </c>
      <c r="F70" s="231">
        <f>+'Rooms Summary'!F159+'F&amp;B Summary'!F205+OOD!F100+'A&amp;G'!F198+'R&amp;M'!F197+'S&amp;M'!F196+Laundry!F195+'Staff Canteen'!F193</f>
        <v>287</v>
      </c>
      <c r="G70" s="231">
        <f>+'Rooms Summary'!G159+'F&amp;B Summary'!G205+OOD!G100+'A&amp;G'!G198+'R&amp;M'!G197+'S&amp;M'!G196+Laundry!G195+'Staff Canteen'!G193</f>
        <v>293</v>
      </c>
      <c r="H70" s="231">
        <f>+'Rooms Summary'!H159+'F&amp;B Summary'!H205+OOD!H100+'A&amp;G'!H198+'R&amp;M'!H197+'S&amp;M'!H196+Laundry!H195+'Staff Canteen'!H193</f>
        <v>296</v>
      </c>
      <c r="I70" s="231">
        <f>+'Rooms Summary'!I159+'F&amp;B Summary'!I205+OOD!I100+'A&amp;G'!I198+'R&amp;M'!I197+'S&amp;M'!I196+Laundry!I195+'Staff Canteen'!I193</f>
        <v>310</v>
      </c>
      <c r="J70" s="231">
        <f>+'Rooms Summary'!J159+'F&amp;B Summary'!J205+OOD!J100+'A&amp;G'!J198+'R&amp;M'!J197+'S&amp;M'!J196+Laundry!J195+'Staff Canteen'!J193</f>
        <v>312</v>
      </c>
      <c r="K70" s="231">
        <f>+'Rooms Summary'!K159+'F&amp;B Summary'!K205+OOD!K100+'A&amp;G'!K198+'R&amp;M'!K197+'S&amp;M'!K196+Laundry!K195+'Staff Canteen'!K193</f>
        <v>320</v>
      </c>
      <c r="L70" s="231">
        <f>+'Rooms Summary'!L159+'F&amp;B Summary'!L205+OOD!L100+'A&amp;G'!L198+'R&amp;M'!L197+'S&amp;M'!L196+Laundry!L195+'Staff Canteen'!L193</f>
        <v>319</v>
      </c>
      <c r="M70" s="231">
        <f>+'Rooms Summary'!M159+'F&amp;B Summary'!M205+OOD!M100+'A&amp;G'!M198+'R&amp;M'!M197+'S&amp;M'!M196+Laundry!M195+'Staff Canteen'!M193</f>
        <v>312</v>
      </c>
      <c r="N70" s="231">
        <f>+'Rooms Summary'!N159+'F&amp;B Summary'!N205+OOD!N100+'A&amp;G'!N198+'R&amp;M'!N197+'S&amp;M'!N196+Laundry!N195+'Staff Canteen'!N193</f>
        <v>324</v>
      </c>
      <c r="O70" s="231">
        <f>+'Rooms Summary'!O159+'F&amp;B Summary'!O205+OOD!O100+'A&amp;G'!O198+'R&amp;M'!O197+'S&amp;M'!O196+Laundry!O195+'Staff Canteen'!O193</f>
        <v>322</v>
      </c>
      <c r="P70" s="231">
        <f>+'Rooms Summary'!P159+'F&amp;B Summary'!P205+OOD!P100+'A&amp;G'!P198+'R&amp;M'!P197+'S&amp;M'!P196+Laundry!P195+'Staff Canteen'!P193</f>
        <v>327</v>
      </c>
      <c r="Q70" s="231">
        <f>SUM(E70:P70)/12</f>
        <v>309.25</v>
      </c>
      <c r="R70" s="231">
        <v>320.83333333333297</v>
      </c>
      <c r="T70" s="298"/>
      <c r="U70" s="414"/>
      <c r="V70" s="378"/>
      <c r="W70" s="298"/>
    </row>
    <row r="71" spans="1:23" s="191" customFormat="1" ht="25.4" customHeight="1">
      <c r="A71" s="177"/>
      <c r="B71" s="177"/>
      <c r="C71" s="204"/>
      <c r="D71" s="205"/>
      <c r="E71" s="232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1" t="s">
        <v>1060</v>
      </c>
      <c r="Q71" s="232">
        <f>+'Rooms Summary'!Q161+'F&amp;B Summary'!Q208+OOD!Q103+'A&amp;G'!Q201+'R&amp;M'!Q199+'S&amp;M'!Q198+Laundry!Q199</f>
        <v>29957194.879999999</v>
      </c>
      <c r="R71" s="231"/>
      <c r="S71" s="382">
        <f>Q71/Q69</f>
        <v>0.72696898215148076</v>
      </c>
      <c r="T71" s="298"/>
      <c r="U71" s="414"/>
      <c r="V71" s="283"/>
      <c r="W71" s="298"/>
    </row>
    <row r="72" spans="1:23" s="191" customFormat="1" ht="25.4" customHeight="1">
      <c r="A72" s="177"/>
      <c r="B72" s="177"/>
      <c r="C72" s="204"/>
      <c r="D72" s="205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 t="s">
        <v>788</v>
      </c>
      <c r="Q72" s="232">
        <f>+'Rooms Summary'!Q162+'F&amp;B Summary'!Q209+OOD!Q104+'A&amp;G'!Q202+'R&amp;M'!Q200+'S&amp;M'!Q199+Laundry!Q200</f>
        <v>11251158.73</v>
      </c>
      <c r="R72" s="231"/>
      <c r="S72" s="382">
        <f>Q72/Q69</f>
        <v>0.27303101784851919</v>
      </c>
      <c r="T72" s="418"/>
      <c r="U72" s="297"/>
      <c r="V72" s="283"/>
      <c r="W72" s="298"/>
    </row>
    <row r="73" spans="1:23" ht="30.75" customHeight="1">
      <c r="O73" s="359"/>
      <c r="P73" s="302"/>
      <c r="Q73" s="301"/>
      <c r="R73" s="301"/>
      <c r="S73" s="301"/>
      <c r="W73" s="298"/>
    </row>
    <row r="74" spans="1:23" ht="33" customHeight="1">
      <c r="D74" s="177" t="s">
        <v>1267</v>
      </c>
      <c r="E74" s="383">
        <f>E69-E77</f>
        <v>3081230.1599999992</v>
      </c>
      <c r="F74" s="383">
        <f t="shared" ref="F74:Q74" si="29">F69-F77</f>
        <v>2837365.65</v>
      </c>
      <c r="G74" s="383">
        <f t="shared" si="29"/>
        <v>2836221.6500000004</v>
      </c>
      <c r="H74" s="383">
        <f t="shared" si="29"/>
        <v>2917862</v>
      </c>
      <c r="I74" s="383">
        <f t="shared" si="29"/>
        <v>3037172.32</v>
      </c>
      <c r="J74" s="383">
        <f t="shared" si="29"/>
        <v>2932018.5799999996</v>
      </c>
      <c r="K74" s="383">
        <f t="shared" si="29"/>
        <v>2969447.3100000005</v>
      </c>
      <c r="L74" s="383">
        <f t="shared" si="29"/>
        <v>2969917.1599999992</v>
      </c>
      <c r="M74" s="383">
        <f t="shared" si="29"/>
        <v>2986426.99</v>
      </c>
      <c r="N74" s="383">
        <f t="shared" si="29"/>
        <v>3296864.580000001</v>
      </c>
      <c r="O74" s="383">
        <f t="shared" si="29"/>
        <v>3010427.2600000007</v>
      </c>
      <c r="P74" s="383">
        <f t="shared" si="29"/>
        <v>3016644.69</v>
      </c>
      <c r="Q74" s="383">
        <f t="shared" si="29"/>
        <v>35891598.350000001</v>
      </c>
      <c r="R74" s="301"/>
      <c r="S74" s="303">
        <f>Q74/Q16</f>
        <v>0.45061508655803512</v>
      </c>
      <c r="T74" s="298"/>
      <c r="W74" s="298"/>
    </row>
    <row r="75" spans="1:23" ht="35.15" customHeight="1">
      <c r="D75" s="177" t="s">
        <v>1268</v>
      </c>
      <c r="E75" s="423">
        <f>E70-E78</f>
        <v>252</v>
      </c>
      <c r="F75" s="423">
        <v>258</v>
      </c>
      <c r="G75" s="423">
        <f>G70-G78</f>
        <v>255</v>
      </c>
      <c r="H75" s="423">
        <f t="shared" ref="H75:Q75" si="30">H70-H78</f>
        <v>256</v>
      </c>
      <c r="I75" s="423">
        <f t="shared" si="30"/>
        <v>263</v>
      </c>
      <c r="J75" s="423">
        <f t="shared" si="30"/>
        <v>267</v>
      </c>
      <c r="K75" s="423">
        <f>K70-K78+1</f>
        <v>273</v>
      </c>
      <c r="L75" s="423">
        <f t="shared" si="30"/>
        <v>272</v>
      </c>
      <c r="M75" s="423">
        <f>M70-M78+1</f>
        <v>274</v>
      </c>
      <c r="N75" s="423">
        <f t="shared" si="30"/>
        <v>276</v>
      </c>
      <c r="O75" s="423">
        <f t="shared" si="30"/>
        <v>277</v>
      </c>
      <c r="P75" s="423">
        <f t="shared" si="30"/>
        <v>280</v>
      </c>
      <c r="Q75" s="424">
        <f t="shared" si="30"/>
        <v>266.41666666666669</v>
      </c>
      <c r="R75" s="301"/>
      <c r="S75" s="301"/>
      <c r="T75" s="298"/>
      <c r="W75" s="298"/>
    </row>
    <row r="76" spans="1:23" s="191" customFormat="1" ht="25.4" hidden="1" customHeight="1">
      <c r="A76" s="177"/>
      <c r="B76" s="177"/>
      <c r="C76" s="214"/>
      <c r="D76" s="384" t="s">
        <v>1347</v>
      </c>
      <c r="E76" s="383">
        <v>358018.2</v>
      </c>
      <c r="F76" s="383">
        <v>363949.68</v>
      </c>
      <c r="G76" s="383">
        <v>377711.98</v>
      </c>
      <c r="H76" s="383">
        <v>388059.48</v>
      </c>
      <c r="I76" s="383">
        <v>422121.88</v>
      </c>
      <c r="J76" s="383">
        <v>404984.07999999996</v>
      </c>
      <c r="K76" s="383">
        <v>433216.57999999996</v>
      </c>
      <c r="L76" s="383">
        <v>429654.07999999996</v>
      </c>
      <c r="M76" s="383">
        <v>369841.07999999996</v>
      </c>
      <c r="N76" s="383">
        <v>417893.08</v>
      </c>
      <c r="O76" s="383">
        <v>412536.48</v>
      </c>
      <c r="P76" s="383">
        <v>426606.98</v>
      </c>
      <c r="Q76" s="124">
        <f>SUM(E76:P76)</f>
        <v>4804593.58</v>
      </c>
      <c r="R76" s="229"/>
      <c r="S76" s="259"/>
      <c r="T76" s="298"/>
      <c r="U76" s="298"/>
      <c r="V76" s="283"/>
      <c r="W76" s="40"/>
    </row>
    <row r="77" spans="1:23" s="191" customFormat="1" ht="25.4" customHeight="1">
      <c r="A77" s="177"/>
      <c r="B77" s="177"/>
      <c r="C77" s="214"/>
      <c r="D77" s="384" t="s">
        <v>1269</v>
      </c>
      <c r="E77" s="383">
        <f>+E76+E79</f>
        <v>396777.81</v>
      </c>
      <c r="F77" s="383">
        <f t="shared" ref="F77:P77" si="31">+F76+F79</f>
        <v>397924.91</v>
      </c>
      <c r="G77" s="383">
        <f t="shared" si="31"/>
        <v>416359.20999999996</v>
      </c>
      <c r="H77" s="383">
        <f t="shared" si="31"/>
        <v>428937.49</v>
      </c>
      <c r="I77" s="383">
        <f t="shared" si="31"/>
        <v>469223.06</v>
      </c>
      <c r="J77" s="383">
        <f t="shared" si="31"/>
        <v>449287.31999999995</v>
      </c>
      <c r="K77" s="383">
        <f t="shared" si="31"/>
        <v>480108.61</v>
      </c>
      <c r="L77" s="383">
        <f t="shared" si="31"/>
        <v>475648.80999999994</v>
      </c>
      <c r="M77" s="383">
        <f t="shared" si="31"/>
        <v>408127.62999999995</v>
      </c>
      <c r="N77" s="383">
        <f t="shared" si="31"/>
        <v>465412.75</v>
      </c>
      <c r="O77" s="383">
        <f t="shared" si="31"/>
        <v>456530.02999999997</v>
      </c>
      <c r="P77" s="383">
        <f t="shared" si="31"/>
        <v>472417.63</v>
      </c>
      <c r="Q77" s="124">
        <f>SUM(E77:P77)</f>
        <v>5316755.26</v>
      </c>
      <c r="R77" s="229"/>
      <c r="S77" s="259"/>
      <c r="T77" s="298"/>
      <c r="U77" s="298"/>
      <c r="V77" s="283"/>
      <c r="W77" s="40"/>
    </row>
    <row r="78" spans="1:23" s="191" customFormat="1" ht="25.4" customHeight="1">
      <c r="A78" s="177"/>
      <c r="B78" s="177"/>
      <c r="C78" s="214"/>
      <c r="D78" s="385" t="s">
        <v>1266</v>
      </c>
      <c r="E78" s="421">
        <v>37</v>
      </c>
      <c r="F78" s="421">
        <v>33</v>
      </c>
      <c r="G78" s="421">
        <v>38</v>
      </c>
      <c r="H78" s="421">
        <v>40</v>
      </c>
      <c r="I78" s="421">
        <v>47</v>
      </c>
      <c r="J78" s="421">
        <v>45</v>
      </c>
      <c r="K78" s="421">
        <v>48</v>
      </c>
      <c r="L78" s="421">
        <v>47</v>
      </c>
      <c r="M78" s="421">
        <v>39</v>
      </c>
      <c r="N78" s="421">
        <v>48</v>
      </c>
      <c r="O78" s="421">
        <v>45</v>
      </c>
      <c r="P78" s="421">
        <v>47</v>
      </c>
      <c r="Q78" s="422">
        <f>SUM(E78:P78)/12</f>
        <v>42.833333333333336</v>
      </c>
      <c r="R78" s="189"/>
      <c r="T78" s="298"/>
      <c r="U78" s="298"/>
      <c r="V78" s="283"/>
      <c r="W78" s="298"/>
    </row>
    <row r="79" spans="1:23" ht="25.75" hidden="1" customHeight="1">
      <c r="D79" s="401" t="s">
        <v>1303</v>
      </c>
      <c r="E79" s="383">
        <v>38759.61</v>
      </c>
      <c r="F79" s="383">
        <v>33975.229999999996</v>
      </c>
      <c r="G79" s="383">
        <v>38647.230000000003</v>
      </c>
      <c r="H79" s="383">
        <v>40878.01</v>
      </c>
      <c r="I79" s="383">
        <v>47101.18</v>
      </c>
      <c r="J79" s="383">
        <v>44303.240000000005</v>
      </c>
      <c r="K79" s="383">
        <v>46892.03</v>
      </c>
      <c r="L79" s="383">
        <v>45994.73</v>
      </c>
      <c r="M79" s="383">
        <v>38286.550000000003</v>
      </c>
      <c r="N79" s="383">
        <v>47519.67</v>
      </c>
      <c r="O79" s="383">
        <v>43993.55</v>
      </c>
      <c r="P79" s="383">
        <v>45810.649999999994</v>
      </c>
      <c r="Q79" s="124">
        <f>SUM(E79:P79)</f>
        <v>512161.67999999993</v>
      </c>
      <c r="R79" s="301"/>
      <c r="S79" s="301"/>
      <c r="W79" s="298"/>
    </row>
    <row r="80" spans="1:23" s="191" customFormat="1" ht="25.4" hidden="1" customHeight="1">
      <c r="A80" s="177"/>
      <c r="B80" s="177"/>
      <c r="C80" s="204"/>
      <c r="D80" s="265" t="s">
        <v>1071</v>
      </c>
      <c r="E80" s="266">
        <f t="shared" ref="E80:O80" si="32">E69-E82</f>
        <v>3132545.5099999993</v>
      </c>
      <c r="F80" s="266">
        <f t="shared" si="32"/>
        <v>2861899.95</v>
      </c>
      <c r="G80" s="266">
        <f t="shared" si="32"/>
        <v>2892820.4400000004</v>
      </c>
      <c r="H80" s="266">
        <f t="shared" si="32"/>
        <v>2968476.5</v>
      </c>
      <c r="I80" s="266">
        <f t="shared" si="32"/>
        <v>3099645.32</v>
      </c>
      <c r="J80" s="266">
        <f t="shared" si="32"/>
        <v>2992320.4699999993</v>
      </c>
      <c r="K80" s="266">
        <f t="shared" si="32"/>
        <v>3023694.7</v>
      </c>
      <c r="L80" s="266">
        <f t="shared" si="32"/>
        <v>3014714.9599999995</v>
      </c>
      <c r="M80" s="266">
        <f t="shared" si="32"/>
        <v>3016775.7800000003</v>
      </c>
      <c r="N80" s="266">
        <f t="shared" si="32"/>
        <v>3352479.4800000009</v>
      </c>
      <c r="O80" s="266">
        <f t="shared" si="32"/>
        <v>3097591.9400000004</v>
      </c>
      <c r="P80" s="364"/>
      <c r="Q80" s="301"/>
      <c r="R80" s="301"/>
      <c r="S80" s="301"/>
      <c r="T80" s="298"/>
      <c r="U80" s="298"/>
      <c r="V80" s="283"/>
      <c r="W80" s="298"/>
    </row>
    <row r="81" spans="1:23" s="191" customFormat="1" ht="25.4" hidden="1" customHeight="1">
      <c r="A81" s="177"/>
      <c r="B81" s="177"/>
      <c r="C81" s="204"/>
      <c r="D81" s="265" t="s">
        <v>1232</v>
      </c>
      <c r="E81" s="266">
        <v>257</v>
      </c>
      <c r="F81" s="266">
        <v>257</v>
      </c>
      <c r="G81" s="266">
        <v>257</v>
      </c>
      <c r="H81" s="266">
        <v>257</v>
      </c>
      <c r="I81" s="266">
        <v>257</v>
      </c>
      <c r="J81" s="266">
        <v>257</v>
      </c>
      <c r="K81" s="266">
        <v>257</v>
      </c>
      <c r="L81" s="266">
        <v>257</v>
      </c>
      <c r="M81" s="266">
        <v>257</v>
      </c>
      <c r="N81" s="266">
        <v>257</v>
      </c>
      <c r="O81" s="266">
        <v>257</v>
      </c>
      <c r="P81" s="364"/>
      <c r="Q81" s="301"/>
      <c r="R81" s="301"/>
      <c r="S81" s="301"/>
      <c r="T81" s="298"/>
      <c r="U81" s="298"/>
      <c r="V81" s="283"/>
      <c r="W81" s="298"/>
    </row>
    <row r="82" spans="1:23" s="191" customFormat="1" ht="25.4" hidden="1" customHeight="1">
      <c r="A82" s="177"/>
      <c r="B82" s="177"/>
      <c r="C82" s="204"/>
      <c r="D82" s="263" t="s">
        <v>1229</v>
      </c>
      <c r="E82" s="264">
        <f>'Rooms Summary'!E135+'F&amp;B Summary'!E182+OOD!E77+'A&amp;G'!E174+'R&amp;M'!E174+'S&amp;M'!E173+Laundry!E172</f>
        <v>345462.46</v>
      </c>
      <c r="F82" s="264">
        <f>'Rooms Summary'!F135+'F&amp;B Summary'!F182+OOD!F77+'A&amp;G'!F174+'R&amp;M'!F174+'S&amp;M'!F173+Laundry!F172</f>
        <v>373390.61</v>
      </c>
      <c r="G82" s="264">
        <f>'Rooms Summary'!G135+'F&amp;B Summary'!G182+OOD!G77+'A&amp;G'!G174+'R&amp;M'!G174+'S&amp;M'!G173+Laundry!G172</f>
        <v>359760.42000000004</v>
      </c>
      <c r="H82" s="264">
        <f>'Rooms Summary'!H135+'F&amp;B Summary'!H182+OOD!H77+'A&amp;G'!H174+'R&amp;M'!H174+'S&amp;M'!H173+Laundry!H172</f>
        <v>378322.99</v>
      </c>
      <c r="I82" s="264">
        <f>'Rooms Summary'!I135+'F&amp;B Summary'!I182+OOD!I77+'A&amp;G'!I174+'R&amp;M'!I174+'S&amp;M'!I173+Laundry!I172</f>
        <v>406750.06</v>
      </c>
      <c r="J82" s="264">
        <f>'Rooms Summary'!J135+'F&amp;B Summary'!J182+OOD!J77+'A&amp;G'!J174+'R&amp;M'!J174+'S&amp;M'!J173+Laundry!J172</f>
        <v>388985.43000000005</v>
      </c>
      <c r="K82" s="264">
        <f>'Rooms Summary'!K135+'F&amp;B Summary'!K182+OOD!K77+'A&amp;G'!K174+'R&amp;M'!K174+'S&amp;M'!K173+Laundry!K172</f>
        <v>425861.22</v>
      </c>
      <c r="L82" s="264">
        <f>'Rooms Summary'!L135+'F&amp;B Summary'!L182+OOD!L77+'A&amp;G'!L174+'R&amp;M'!L174+'S&amp;M'!L173+Laundry!L172</f>
        <v>430851.00999999995</v>
      </c>
      <c r="M82" s="264">
        <f>'Rooms Summary'!M135+'F&amp;B Summary'!M182+OOD!M77+'A&amp;G'!M174+'R&amp;M'!M174+'S&amp;M'!M173+Laundry!M172</f>
        <v>377778.83999999997</v>
      </c>
      <c r="N82" s="264">
        <f>'Rooms Summary'!N135+'F&amp;B Summary'!N182+OOD!N77+'A&amp;G'!N174+'R&amp;M'!N174+'S&amp;M'!N173+Laundry!N172</f>
        <v>409797.85</v>
      </c>
      <c r="O82" s="264">
        <f>'Rooms Summary'!O135+'F&amp;B Summary'!O182+OOD!O77+'A&amp;G'!O174+'R&amp;M'!O174+'S&amp;M'!O173+Laundry!O172</f>
        <v>369365.35000000003</v>
      </c>
      <c r="P82" s="365"/>
      <c r="Q82" s="301"/>
      <c r="R82" s="301"/>
      <c r="S82" s="301"/>
      <c r="T82" s="298"/>
      <c r="U82" s="298"/>
      <c r="V82" s="283"/>
      <c r="W82" s="298"/>
    </row>
    <row r="83" spans="1:23" s="191" customFormat="1" ht="25.4" hidden="1" customHeight="1">
      <c r="A83" s="177"/>
      <c r="B83" s="177"/>
      <c r="C83" s="204"/>
      <c r="D83" s="358" t="s">
        <v>1230</v>
      </c>
      <c r="E83" s="264">
        <v>60</v>
      </c>
      <c r="F83" s="264">
        <v>60</v>
      </c>
      <c r="G83" s="264">
        <v>62</v>
      </c>
      <c r="H83" s="264">
        <v>62</v>
      </c>
      <c r="I83" s="264">
        <v>67</v>
      </c>
      <c r="J83" s="264">
        <v>65</v>
      </c>
      <c r="K83" s="264">
        <v>67</v>
      </c>
      <c r="L83" s="264">
        <v>67</v>
      </c>
      <c r="M83" s="264">
        <v>60</v>
      </c>
      <c r="N83" s="264">
        <v>76</v>
      </c>
      <c r="O83" s="264">
        <v>68</v>
      </c>
      <c r="P83" s="365"/>
      <c r="Q83" s="301"/>
      <c r="R83" s="301"/>
      <c r="S83" s="301"/>
      <c r="T83" s="298"/>
      <c r="U83" s="298"/>
      <c r="V83" s="283"/>
      <c r="W83" s="298"/>
    </row>
    <row r="84" spans="1:23" ht="26.25" hidden="1" customHeight="1">
      <c r="D84" s="230" t="s">
        <v>109</v>
      </c>
      <c r="E84" s="230">
        <f>E36</f>
        <v>-128850.2516830191</v>
      </c>
      <c r="F84" s="230">
        <f>SUM(E36:F36)</f>
        <v>1650131.4422415094</v>
      </c>
      <c r="G84" s="230">
        <f>SUM(E36:G36)</f>
        <v>1053313.1191735847</v>
      </c>
      <c r="H84" s="230">
        <f>SUM(E36:H36)</f>
        <v>86782.788524527801</v>
      </c>
      <c r="I84" s="230">
        <f>SUM(E36:I36)</f>
        <v>263290.7877056601</v>
      </c>
      <c r="J84" s="230">
        <f>SUM(E36:J36)</f>
        <v>-671418.79386037774</v>
      </c>
      <c r="K84" s="230">
        <f>SUM(E36:K36)</f>
        <v>-24474.225230189506</v>
      </c>
      <c r="L84" s="230">
        <f>SUM(E36:L36)</f>
        <v>941354.27192830155</v>
      </c>
      <c r="M84" s="230">
        <f>SUM(E36:M36)</f>
        <v>-426721.53993962263</v>
      </c>
      <c r="N84" s="230">
        <f>SUM(E36:N36)</f>
        <v>309161.14811320719</v>
      </c>
      <c r="O84" s="230">
        <f>SUM(E36:O36)</f>
        <v>610407.05946792359</v>
      </c>
      <c r="P84" s="366"/>
      <c r="Q84" s="301"/>
      <c r="R84" s="301"/>
      <c r="S84" s="301"/>
      <c r="T84" s="298"/>
      <c r="W84" s="298"/>
    </row>
    <row r="85" spans="1:23" ht="26.25" hidden="1" customHeight="1">
      <c r="D85" s="230" t="s">
        <v>110</v>
      </c>
      <c r="E85" s="230">
        <f>E43</f>
        <v>108800</v>
      </c>
      <c r="F85" s="230">
        <f>SUM(E43:F43)</f>
        <v>217600</v>
      </c>
      <c r="G85" s="230">
        <f>SUM(E43:G43)</f>
        <v>326400</v>
      </c>
      <c r="H85" s="230">
        <f>SUM(E43:H43)</f>
        <v>435200</v>
      </c>
      <c r="I85" s="230">
        <f>SUM(E43:I43)</f>
        <v>544000</v>
      </c>
      <c r="J85" s="230">
        <f>SUM(E43:J43)</f>
        <v>652800</v>
      </c>
      <c r="K85" s="230">
        <f>SUM(E43:K43)</f>
        <v>761600</v>
      </c>
      <c r="L85" s="230">
        <f>SUM(E43:L43)</f>
        <v>870400</v>
      </c>
      <c r="M85" s="230">
        <f>SUM(E43:M43)</f>
        <v>979200</v>
      </c>
      <c r="N85" s="230">
        <f>SUM(E43:N43)</f>
        <v>1088000</v>
      </c>
      <c r="O85" s="230">
        <f>SUM(E43:O43)</f>
        <v>1196800</v>
      </c>
      <c r="P85" s="366"/>
      <c r="Q85" s="301"/>
      <c r="R85" s="301"/>
      <c r="S85" s="301"/>
      <c r="T85" s="298"/>
      <c r="W85" s="298"/>
    </row>
    <row r="86" spans="1:23" ht="26.25" hidden="1" customHeight="1">
      <c r="D86" s="230" t="s">
        <v>111</v>
      </c>
      <c r="E86" s="230">
        <f>E39*1.06</f>
        <v>222600</v>
      </c>
      <c r="F86" s="230">
        <f>SUM(E39:F39)*1.06</f>
        <v>445200</v>
      </c>
      <c r="G86" s="230">
        <f>SUM(E39:G39)*1.06</f>
        <v>667800</v>
      </c>
      <c r="H86" s="230">
        <f>SUM(E39:H39)*1.06</f>
        <v>890400</v>
      </c>
      <c r="I86" s="230">
        <f>SUM(E39:I39)*1.06</f>
        <v>1113000</v>
      </c>
      <c r="J86" s="230">
        <f>SUM(E39:J39)*1.06</f>
        <v>1335600</v>
      </c>
      <c r="K86" s="230">
        <f>SUM(E39:K39)*1.06</f>
        <v>1558200</v>
      </c>
      <c r="L86" s="230">
        <f>SUM(E39:L39)*1.06</f>
        <v>1780800</v>
      </c>
      <c r="M86" s="230">
        <f>SUM(E39:M39)*1.06</f>
        <v>2003400</v>
      </c>
      <c r="N86" s="230">
        <f>SUM(E39:N39)*1.06</f>
        <v>2226000</v>
      </c>
      <c r="O86" s="230">
        <f>SUM(E39:O39)*1.06</f>
        <v>2448600</v>
      </c>
      <c r="P86" s="366"/>
      <c r="Q86" s="301"/>
      <c r="R86" s="301"/>
      <c r="S86" s="301"/>
      <c r="T86" s="298"/>
      <c r="W86" s="298"/>
    </row>
    <row r="87" spans="1:23" ht="26.25" hidden="1" customHeight="1">
      <c r="D87" s="230" t="s">
        <v>112</v>
      </c>
      <c r="E87" s="230">
        <f>+E84-E85-E86</f>
        <v>-460250.2516830191</v>
      </c>
      <c r="F87" s="230">
        <f t="shared" ref="F87:O87" si="33">+F84-F85-F86</f>
        <v>987331.44224150945</v>
      </c>
      <c r="G87" s="230">
        <f t="shared" si="33"/>
        <v>59113.119173584739</v>
      </c>
      <c r="H87" s="230">
        <f t="shared" si="33"/>
        <v>-1238817.2114754722</v>
      </c>
      <c r="I87" s="230">
        <f t="shared" si="33"/>
        <v>-1393709.2122943399</v>
      </c>
      <c r="J87" s="230">
        <f t="shared" si="33"/>
        <v>-2659818.7938603777</v>
      </c>
      <c r="K87" s="230">
        <f t="shared" si="33"/>
        <v>-2344274.2252301895</v>
      </c>
      <c r="L87" s="230">
        <f t="shared" si="33"/>
        <v>-1709845.7280716985</v>
      </c>
      <c r="M87" s="230">
        <f t="shared" si="33"/>
        <v>-3409321.5399396224</v>
      </c>
      <c r="N87" s="230">
        <f t="shared" si="33"/>
        <v>-3004838.851886793</v>
      </c>
      <c r="O87" s="230">
        <f t="shared" si="33"/>
        <v>-3034992.9405320762</v>
      </c>
      <c r="P87" s="366"/>
      <c r="Q87" s="301"/>
      <c r="R87" s="301"/>
      <c r="S87" s="301"/>
      <c r="T87" s="298"/>
      <c r="W87" s="298"/>
    </row>
    <row r="88" spans="1:23" ht="26.25" customHeight="1">
      <c r="H88" s="193"/>
      <c r="I88" s="193"/>
      <c r="J88" s="193"/>
      <c r="K88" s="193"/>
      <c r="L88" s="193"/>
      <c r="M88" s="193"/>
      <c r="N88" s="193"/>
      <c r="O88" s="193"/>
      <c r="P88" s="367"/>
      <c r="Q88" s="301"/>
      <c r="R88" s="301"/>
      <c r="S88" s="301"/>
      <c r="W88" s="298"/>
    </row>
    <row r="89" spans="1:23" ht="30.75" customHeight="1">
      <c r="O89" s="359"/>
      <c r="P89" s="363"/>
      <c r="Q89" s="362"/>
      <c r="T89" s="298"/>
      <c r="W89" s="298"/>
    </row>
    <row r="90" spans="1:23" ht="26.25" customHeight="1">
      <c r="O90" s="301"/>
      <c r="P90" s="302"/>
      <c r="Q90" s="356"/>
      <c r="T90" s="298"/>
      <c r="W90" s="298"/>
    </row>
    <row r="91" spans="1:23" ht="26.25" customHeight="1">
      <c r="O91" s="301"/>
      <c r="P91" s="302"/>
      <c r="Q91" s="356"/>
      <c r="S91" s="300"/>
      <c r="T91" s="298"/>
      <c r="W91" s="298"/>
    </row>
    <row r="92" spans="1:23" ht="26.25" customHeight="1">
      <c r="O92" s="301"/>
      <c r="P92" s="302"/>
      <c r="Q92" s="301"/>
      <c r="S92" s="300"/>
      <c r="W92" s="298"/>
    </row>
    <row r="93" spans="1:23" ht="26.25" customHeight="1">
      <c r="O93" s="301"/>
      <c r="P93" s="302"/>
      <c r="Q93" s="301"/>
      <c r="S93" s="300"/>
      <c r="W93" s="298"/>
    </row>
  </sheetData>
  <phoneticPr fontId="56" type="noConversion"/>
  <dataValidations count="70">
    <dataValidation type="textLength" errorStyle="information" allowBlank="1" showInputMessage="1" showErrorMessage="1" error="XLBVal:6=2384238.95_x000d__x000a_" sqref="F87:P87 E84:E87">
      <formula1>0</formula1>
      <formula2>300</formula2>
    </dataValidation>
    <dataValidation type="textLength" errorStyle="information" allowBlank="1" showInputMessage="1" showErrorMessage="1" error="XLBVal:6=877418.59_x000d__x000a_" sqref="E30:P30">
      <formula1>0</formula1>
      <formula2>300</formula2>
    </dataValidation>
    <dataValidation type="textLength" errorStyle="information" allowBlank="1" showInputMessage="1" showErrorMessage="1" error="XLBVal:6=297933.65_x000d__x000a_" sqref="Q43">
      <formula1>0</formula1>
      <formula2>300</formula2>
    </dataValidation>
    <dataValidation type="textLength" errorStyle="information" allowBlank="1" showInputMessage="1" showErrorMessage="1" error="XLBVal:6=-1174.71_x000d__x000a_" sqref="B7">
      <formula1>0</formula1>
      <formula2>300</formula2>
    </dataValidation>
    <dataValidation type="textLength" errorStyle="information" allowBlank="1" showInputMessage="1" showErrorMessage="1" error="XLBVal:6=0_x000d__x000a_" sqref="B3 E51:P51">
      <formula1>0</formula1>
      <formula2>300</formula2>
    </dataValidation>
    <dataValidation type="textLength" errorStyle="information" allowBlank="1" showInputMessage="1" showErrorMessage="1" error="XLBVal:6=6963297.16_x000d__x000a_" sqref="Q19:Q20">
      <formula1>0</formula1>
      <formula2>300</formula2>
    </dataValidation>
    <dataValidation type="textLength" errorStyle="information" allowBlank="1" showInputMessage="1" showErrorMessage="1" error="XLBVal:6=-5443.64_x000d__x000a_" sqref="B2">
      <formula1>0</formula1>
      <formula2>300</formula2>
    </dataValidation>
    <dataValidation type="textLength" errorStyle="information" allowBlank="1" showInputMessage="1" showErrorMessage="1" error="XLBVal:6=-1944_x000d__x000a_" sqref="B4">
      <formula1>0</formula1>
      <formula2>300</formula2>
    </dataValidation>
    <dataValidation type="textLength" errorStyle="information" allowBlank="1" showInputMessage="1" showErrorMessage="1" error="XLBVal:6=22752_x000d__x000a_" sqref="Q56">
      <formula1>0</formula1>
      <formula2>300</formula2>
    </dataValidation>
    <dataValidation type="textLength" errorStyle="information" allowBlank="1" showInputMessage="1" showErrorMessage="1" error="XLBVal:5=4580825.67_x000d__x000a_" sqref="E35:R35">
      <formula1>0</formula1>
      <formula2>300</formula2>
    </dataValidation>
    <dataValidation type="textLength" errorStyle="information" allowBlank="1" showInputMessage="1" showErrorMessage="1" error="XLBVal:6=-5904.27_x000d__x000a_" sqref="B9">
      <formula1>0</formula1>
      <formula2>300</formula2>
    </dataValidation>
    <dataValidation type="textLength" errorStyle="information" allowBlank="1" showInputMessage="1" showErrorMessage="1" error="XLBVal:6=-1079_x000d__x000a_" sqref="B5">
      <formula1>0</formula1>
      <formula2>300</formula2>
    </dataValidation>
    <dataValidation type="textLength" errorStyle="information" allowBlank="1" showInputMessage="1" showErrorMessage="1" error="XLBVal:6=80915624.42_x000d__x000a_" sqref="Q11:Q15">
      <formula1>0</formula1>
      <formula2>300</formula2>
    </dataValidation>
    <dataValidation type="textLength" errorStyle="information" allowBlank="1" showInputMessage="1" showErrorMessage="1" error="XLBVal:6=8671.34_x000d__x000a_" sqref="E40:P40">
      <formula1>0</formula1>
      <formula2>300</formula2>
    </dataValidation>
    <dataValidation type="textLength" errorStyle="information" allowBlank="1" showInputMessage="1" showErrorMessage="1" error="XLBVal:6=675565.17_x000d__x000a_" sqref="E34:P34">
      <formula1>0</formula1>
      <formula2>300</formula2>
    </dataValidation>
    <dataValidation type="textLength" errorStyle="information" allowBlank="1" showInputMessage="1" showErrorMessage="1" error="XLBVal:5=5327272.97_x000d__x000a_" sqref="E21:R21">
      <formula1>0</formula1>
      <formula2>300</formula2>
    </dataValidation>
    <dataValidation type="textLength" errorStyle="information" allowBlank="1" showInputMessage="1" showErrorMessage="1" error="XLBVal:6=-1824.09_x000d__x000a_" sqref="B6">
      <formula1>0</formula1>
      <formula2>300</formula2>
    </dataValidation>
    <dataValidation type="textLength" errorStyle="information" allowBlank="1" showInputMessage="1" showErrorMessage="1" error="XLBVal:6=-42_x000d__x000a_" sqref="B8">
      <formula1>0</formula1>
      <formula2>300</formula2>
    </dataValidation>
    <dataValidation type="textLength" errorStyle="information" allowBlank="1" showInputMessage="1" showErrorMessage="1" error="XLBVal:6=1674869.15_x000d__x000a_" sqref="Q33">
      <formula1>0</formula1>
      <formula2>300</formula2>
    </dataValidation>
    <dataValidation type="textLength" errorStyle="information" allowBlank="1" showInputMessage="1" showErrorMessage="1" error="XLBVal:6=-7167_x000d__x000a_" sqref="B10">
      <formula1>0</formula1>
      <formula2>300</formula2>
    </dataValidation>
    <dataValidation type="textLength" errorStyle="information" allowBlank="1" showInputMessage="1" showErrorMessage="1" error="XLBVal:6=-2342.36_x000d__x000a_" sqref="B11">
      <formula1>0</formula1>
      <formula2>300</formula2>
    </dataValidation>
    <dataValidation type="textLength" errorStyle="information" allowBlank="1" showInputMessage="1" showErrorMessage="1" error="XLBVal:6=1246.36_x000d__x000a_" sqref="E44:P44">
      <formula1>0</formula1>
      <formula2>300</formula2>
    </dataValidation>
    <dataValidation type="textLength" errorStyle="information" allowBlank="1" showInputMessage="1" showErrorMessage="1" error="XLBVal:6=109448.9_x000d__x000a_" sqref="E39:P39 E60:P60">
      <formula1>0</formula1>
      <formula2>300</formula2>
    </dataValidation>
    <dataValidation type="textLength" errorStyle="information" allowBlank="1" showInputMessage="1" showErrorMessage="1" error="XLBVal:6=2946646.25_x000d__x000a_" sqref="E11:P11">
      <formula1>0</formula1>
      <formula2>300</formula2>
    </dataValidation>
    <dataValidation type="textLength" errorStyle="information" allowBlank="1" showInputMessage="1" showErrorMessage="1" error="XLBVal:6=-11179.24_x000d__x000a_" sqref="B12">
      <formula1>0</formula1>
      <formula2>300</formula2>
    </dataValidation>
    <dataValidation type="textLength" errorStyle="information" allowBlank="1" showInputMessage="1" showErrorMessage="1" error="XLBVal:6=594952.69_x000d__x000a_" sqref="E23:R23">
      <formula1>0</formula1>
      <formula2>300</formula2>
    </dataValidation>
    <dataValidation type="textLength" errorStyle="information" allowBlank="1" showInputMessage="1" showErrorMessage="1" error="XLBVal:6=2463961.24_x000d__x000a_" sqref="E12:P12">
      <formula1>0</formula1>
      <formula2>300</formula2>
    </dataValidation>
    <dataValidation type="textLength" errorStyle="information" allowBlank="1" showInputMessage="1" showErrorMessage="1" error="XLBVal:6=-4492.55_x000d__x000a_" sqref="B13">
      <formula1>0</formula1>
      <formula2>300</formula2>
    </dataValidation>
    <dataValidation type="textLength" errorStyle="information" allowBlank="1" showInputMessage="1" showErrorMessage="1" error="XLBVal:6=58831.48_x000d__x000a_" sqref="E13:P13">
      <formula1>0</formula1>
      <formula2>300</formula2>
    </dataValidation>
    <dataValidation type="textLength" errorStyle="information" allowBlank="1" showInputMessage="1" showErrorMessage="1" error="XLBVal:6=1789489.92_x000d__x000a_" sqref="Q40">
      <formula1>0</formula1>
      <formula2>300</formula2>
    </dataValidation>
    <dataValidation type="textLength" errorStyle="information" allowBlank="1" showInputMessage="1" showErrorMessage="1" error="XLBVal:6=73645_x000d__x000a_" sqref="E43:P43">
      <formula1>0</formula1>
      <formula2>300</formula2>
    </dataValidation>
    <dataValidation type="textLength" errorStyle="information" allowBlank="1" showInputMessage="1" showErrorMessage="1" error="XLBVal:6=1966507.85_x000d__x000a_" sqref="E24:R24">
      <formula1>0</formula1>
      <formula2>300</formula2>
    </dataValidation>
    <dataValidation type="textLength" errorStyle="information" allowBlank="1" showInputMessage="1" showErrorMessage="1" error="XLBVal:2=0_x000d__x000a_" sqref="E14:P14 E25:R25 E46:R46 E49:P49 E50:Q50 R56 E58:R58 Q60:R60 R11:R15 R18:R20 R30:R34 R39:R40 R43:R45 R49:R51 R64:R65 E56:P56 R69:R72">
      <formula1>0</formula1>
      <formula2>300</formula2>
    </dataValidation>
    <dataValidation type="textLength" errorStyle="information" allowBlank="1" showInputMessage="1" showErrorMessage="1" error="XLBVal:5=139867.06_x000d__x000a_" sqref="E47:R47">
      <formula1>0</formula1>
      <formula2>300</formula2>
    </dataValidation>
    <dataValidation type="textLength" errorStyle="information" allowBlank="1" showInputMessage="1" showErrorMessage="1" error="XLBVal:6=3005.67_x000d__x000a_" sqref="E15:P15">
      <formula1>0</formula1>
      <formula2>300</formula2>
    </dataValidation>
    <dataValidation type="textLength" errorStyle="information" allowBlank="1" showInputMessage="1" showErrorMessage="1" error="XLBVal:6=2024921.91_x000d__x000a_" sqref="E19:P19">
      <formula1>0</formula1>
      <formula2>300</formula2>
    </dataValidation>
    <dataValidation type="textLength" errorStyle="information" allowBlank="1" showInputMessage="1" showErrorMessage="1" error="XLBVal:6=4554279.87_x000d__x000a_" sqref="Q18">
      <formula1>0</formula1>
      <formula2>300</formula2>
    </dataValidation>
    <dataValidation type="textLength" errorStyle="information" allowBlank="1" showInputMessage="1" showErrorMessage="1" error="XLBVal:6=1876054.83_x000d__x000a_" sqref="Q30">
      <formula1>0</formula1>
      <formula2>300</formula2>
    </dataValidation>
    <dataValidation type="textLength" errorStyle="information" allowBlank="1" showInputMessage="1" showErrorMessage="1" error="XLBVal:5=7234671.58_x000d__x000a_" sqref="E16:R16">
      <formula1>0</formula1>
      <formula2>300</formula2>
    </dataValidation>
    <dataValidation type="textLength" errorStyle="information" allowBlank="1" showInputMessage="1" showErrorMessage="1" error="XLBVal:6=605515.18_x000d__x000a_" sqref="Q31">
      <formula1>0</formula1>
      <formula2>300</formula2>
    </dataValidation>
    <dataValidation type="textLength" errorStyle="information" allowBlank="1" showInputMessage="1" showErrorMessage="1" error="XLBVal:6=910362.32_x000d__x000a_" sqref="E18:P18">
      <formula1>0</formula1>
      <formula2>300</formula2>
    </dataValidation>
    <dataValidation type="textLength" errorStyle="information" allowBlank="1" showInputMessage="1" showErrorMessage="1" error="XLBVal:6=175760.81_x000d__x000a_" sqref="Q44">
      <formula1>0</formula1>
      <formula2>300</formula2>
    </dataValidation>
    <dataValidation type="textLength" errorStyle="information" allowBlank="1" showInputMessage="1" showErrorMessage="1" error="XLBVal:6=58126.85_x000d__x000a_" sqref="E20:P20">
      <formula1>0</formula1>
      <formula2>300</formula2>
    </dataValidation>
    <dataValidation type="textLength" errorStyle="information" allowBlank="1" showInputMessage="1" showErrorMessage="1" error="XLBVal:6=24354.83_x000d__x000a_" sqref="E26:R26">
      <formula1>0</formula1>
      <formula2>300</formula2>
    </dataValidation>
    <dataValidation type="textLength" errorStyle="information" allowBlank="1" showInputMessage="1" showErrorMessage="1" error="XLBVal:6=20681.1_x000d__x000a_" sqref="E27:R27">
      <formula1>0</formula1>
      <formula2>300</formula2>
    </dataValidation>
    <dataValidation type="textLength" errorStyle="information" allowBlank="1" showInputMessage="1" showErrorMessage="1" error="XLBVal:5=1907398.61_x000d__x000a_" sqref="E28:R28">
      <formula1>0</formula1>
      <formula2>300</formula2>
    </dataValidation>
    <dataValidation type="textLength" errorStyle="information" allowBlank="1" showInputMessage="1" showErrorMessage="1" error="XLBVal:6=292759.4_x000d__x000a_" sqref="E31:P31">
      <formula1>0</formula1>
      <formula2>300</formula2>
    </dataValidation>
    <dataValidation type="textLength" errorStyle="information" allowBlank="1" showInputMessage="1" showErrorMessage="1" error="XLBVal:6=82086.67_x000d__x000a_" sqref="E32:P32">
      <formula1>0</formula1>
      <formula2>300</formula2>
    </dataValidation>
    <dataValidation type="textLength" errorStyle="information" allowBlank="1" showInputMessage="1" showErrorMessage="1" error="XLBVal:6=605176.89_x000d__x000a_" sqref="Q32">
      <formula1>0</formula1>
      <formula2>300</formula2>
    </dataValidation>
    <dataValidation type="textLength" errorStyle="information" allowBlank="1" showInputMessage="1" showErrorMessage="1" error="XLBVal:6=194683.06_x000d__x000a_" sqref="E33:P33">
      <formula1>0</formula1>
      <formula2>300</formula2>
    </dataValidation>
    <dataValidation type="textLength" errorStyle="information" allowBlank="1" showInputMessage="1" showErrorMessage="1" error="XLBVal:6=1350520.36_x000d__x000a_" sqref="Q34">
      <formula1>0</formula1>
      <formula2>300</formula2>
    </dataValidation>
    <dataValidation type="textLength" errorStyle="information" allowBlank="1" showInputMessage="1" showErrorMessage="1" error="XLBVal:6=887592.75_x000d__x000a_" sqref="Q39">
      <formula1>0</formula1>
      <formula2>300</formula2>
    </dataValidation>
    <dataValidation type="textLength" errorStyle="information" allowBlank="1" showInputMessage="1" showErrorMessage="1" error="XLBVal:5=-2823307.54_x000d__x000a_" sqref="E41:R41">
      <formula1>0</formula1>
      <formula2>300</formula2>
    </dataValidation>
    <dataValidation type="textLength" errorStyle="information" allowBlank="1" showInputMessage="1" showErrorMessage="1" error="XLBVal:6=2462_x000d__x000a_" sqref="E65:P65">
      <formula1>0</formula1>
      <formula2>300</formula2>
    </dataValidation>
    <dataValidation type="textLength" errorStyle="information" allowBlank="1" showInputMessage="1" showErrorMessage="1" error="XLBVal:6=21577.16_x000d__x000a_" sqref="E45:P45">
      <formula1>0</formula1>
      <formula2>300</formula2>
    </dataValidation>
    <dataValidation type="textLength" errorStyle="information" allowBlank="1" showInputMessage="1" showErrorMessage="1" error="XLBVal:6=101617.06_x000d__x000a_" sqref="Q45">
      <formula1>0</formula1>
      <formula2>300</formula2>
    </dataValidation>
    <dataValidation type="textLength" errorStyle="information" allowBlank="1" showInputMessage="1" showErrorMessage="1" error="XLBVal:6=2497727.27_x000d__x000a_" sqref="E69:P69">
      <formula1>0</formula1>
      <formula2>300</formula2>
    </dataValidation>
    <dataValidation type="textLength" errorStyle="information" allowBlank="1" showInputMessage="1" showErrorMessage="1" error="XLBVal:6=-28424_x000d__x000a_" sqref="Q49">
      <formula1>0</formula1>
      <formula2>300</formula2>
    </dataValidation>
    <dataValidation type="textLength" errorStyle="information" allowBlank="1" showInputMessage="1" showErrorMessage="1" error="XLBVal:6=131375.02_x000d__x000a_" sqref="Q51">
      <formula1>0</formula1>
      <formula2>300</formula2>
    </dataValidation>
    <dataValidation type="textLength" errorStyle="information" allowBlank="1" showInputMessage="1" showErrorMessage="1" error="XLBVal:5=0_x000d__x000a_" sqref="E52:R52 H59:I59">
      <formula1>0</formula1>
      <formula2>300</formula2>
    </dataValidation>
    <dataValidation type="textLength" errorStyle="information" allowBlank="1" showInputMessage="1" showErrorMessage="1" error="XLBVal:6=5022_x000d__x000a_" sqref="E64:P64">
      <formula1>0</formula1>
      <formula2>300</formula2>
    </dataValidation>
    <dataValidation type="textLength" errorStyle="information" allowBlank="1" showInputMessage="1" showErrorMessage="1" error="XLBVal:6=246375_x000d__x000a_" sqref="Q64 Q69">
      <formula1>0</formula1>
      <formula2>300</formula2>
    </dataValidation>
    <dataValidation type="textLength" errorStyle="information" allowBlank="1" showInputMessage="1" showErrorMessage="1" error="XLBVal:6=35290_x000d__x000a_" sqref="Q65">
      <formula1>0</formula1>
      <formula2>300</formula2>
    </dataValidation>
    <dataValidation type="textLength" errorStyle="information" allowBlank="1" showInputMessage="1" showErrorMessage="1" error="XLBVal:8=Oct 2016_x000d__x000a_" sqref="D7:D8">
      <formula1>0</formula1>
      <formula2>300</formula2>
    </dataValidation>
    <dataValidation type="textLength" errorStyle="information" allowBlank="1" showInputMessage="1" showErrorMessage="1" error="XLBVal:5=-2673427.06_x000d__x000a_" sqref="E36:R37">
      <formula1>0</formula1>
      <formula2>300</formula2>
    </dataValidation>
    <dataValidation type="textLength" errorStyle="information" allowBlank="1" showInputMessage="1" showErrorMessage="1" error="XLBVal:5=-2963174.6_x000d__x000a_" sqref="E53:R54">
      <formula1>0</formula1>
      <formula2>300</formula2>
    </dataValidation>
    <dataValidation type="textLength" errorStyle="information" allowBlank="1" showInputMessage="1" showErrorMessage="1" error="XLBVal:5=-1598046.96_x000d__x000a_" sqref="E61:R62">
      <formula1>0</formula1>
      <formula2>300</formula2>
    </dataValidation>
    <dataValidation type="textLength" errorStyle="information" allowBlank="1" showInputMessage="1" showErrorMessage="1" sqref="E66:R68">
      <formula1>0</formula1>
      <formula2>300</formula2>
    </dataValidation>
    <dataValidation type="textLength" errorStyle="information" allowBlank="1" showInputMessage="1" showErrorMessage="1" error="XLBVal:6=11232_x000d__x000a_" sqref="Q71:Q72">
      <formula1>0</formula1>
      <formula2>300</formula2>
    </dataValidation>
    <dataValidation type="textLength" errorStyle="information" allowBlank="1" showInputMessage="1" showErrorMessage="1" error="XLBVal:6=467_x000d__x000a_" sqref="E80:P82 E70:E72 F71:P72 F70:Q7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C00"/>
    <pageSetUpPr fitToPage="1"/>
  </sheetPr>
  <dimension ref="A1:U163"/>
  <sheetViews>
    <sheetView topLeftCell="A4" zoomScale="55" zoomScaleNormal="55" zoomScaleSheetLayoutView="40" workbookViewId="0">
      <pane xSplit="4" ySplit="7" topLeftCell="E48" activePane="bottomRight" state="frozen"/>
      <selection activeCell="D9" sqref="D9"/>
      <selection pane="topRight" activeCell="D9" sqref="D9"/>
      <selection pane="bottomLeft" activeCell="D9" sqref="D9"/>
      <selection pane="bottomRight" activeCell="E159" sqref="E159:P159"/>
    </sheetView>
  </sheetViews>
  <sheetFormatPr defaultColWidth="8.90625" defaultRowHeight="26.25" customHeight="1" outlineLevelRow="1" outlineLevelCol="1"/>
  <cols>
    <col min="1" max="1" width="19" style="5" hidden="1" customWidth="1" outlineLevel="1"/>
    <col min="2" max="2" width="15.453125" style="5" hidden="1" customWidth="1" outlineLevel="1"/>
    <col min="3" max="3" width="23.6328125" style="5" hidden="1" customWidth="1" outlineLevel="1"/>
    <col min="4" max="4" width="85" style="6" customWidth="1" collapsed="1"/>
    <col min="5" max="5" width="23.08984375" style="7" customWidth="1"/>
    <col min="6" max="6" width="21.36328125" style="7" customWidth="1"/>
    <col min="7" max="7" width="22" style="7" customWidth="1"/>
    <col min="8" max="8" width="23.36328125" style="7" customWidth="1"/>
    <col min="9" max="9" width="23.453125" style="7" customWidth="1"/>
    <col min="10" max="10" width="25.453125" style="174" customWidth="1"/>
    <col min="11" max="11" width="24.453125" style="174" customWidth="1"/>
    <col min="12" max="12" width="22.453125" style="5" customWidth="1"/>
    <col min="13" max="13" width="24.08984375" style="174" customWidth="1"/>
    <col min="14" max="14" width="22.453125" style="174" customWidth="1"/>
    <col min="15" max="16" width="25.453125" style="174" customWidth="1"/>
    <col min="17" max="17" width="27.453125" style="174" customWidth="1"/>
    <col min="18" max="18" width="15.453125" style="174" customWidth="1"/>
    <col min="19" max="19" width="14.6328125" style="174" customWidth="1"/>
    <col min="20" max="20" width="22.453125" style="174" hidden="1" customWidth="1"/>
    <col min="21" max="21" width="22.453125" style="179" hidden="1" customWidth="1"/>
    <col min="22" max="22" width="8.90625" style="174"/>
    <col min="23" max="23" width="22.453125" style="174" customWidth="1"/>
    <col min="24" max="16384" width="8.90625" style="174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U1" s="167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U2" s="167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U3" s="167"/>
    </row>
    <row r="4" spans="1:21" s="2" customFormat="1" ht="25.4" customHeight="1">
      <c r="D4" s="10" t="str">
        <f>Summary!D4</f>
        <v>Hotel Budget Report</v>
      </c>
      <c r="E4" s="11"/>
      <c r="F4" s="11"/>
      <c r="G4" s="12"/>
      <c r="H4" s="13"/>
      <c r="I4" s="13"/>
      <c r="U4" s="180"/>
    </row>
    <row r="5" spans="1:21" s="2" customFormat="1" ht="25.4" customHeight="1">
      <c r="D5" s="10" t="str">
        <f>Summary!$D$5</f>
        <v>酒店预算报表</v>
      </c>
      <c r="E5" s="274"/>
      <c r="F5" s="274"/>
      <c r="G5" s="275"/>
      <c r="H5" s="269"/>
      <c r="I5" s="269"/>
      <c r="J5" s="270"/>
      <c r="K5" s="270"/>
      <c r="L5" s="270"/>
      <c r="M5" s="270"/>
      <c r="N5" s="270"/>
      <c r="O5" s="270"/>
      <c r="P5" s="270"/>
      <c r="Q5" s="270"/>
      <c r="U5" s="180"/>
    </row>
    <row r="6" spans="1:21" s="2" customFormat="1" ht="25.4" customHeight="1">
      <c r="D6" s="14" t="s">
        <v>113</v>
      </c>
      <c r="E6" s="269"/>
      <c r="F6" s="269"/>
      <c r="G6" s="269"/>
      <c r="H6" s="269"/>
      <c r="I6" s="269"/>
      <c r="J6" s="270"/>
      <c r="K6" s="270"/>
      <c r="L6" s="270"/>
      <c r="M6" s="270"/>
      <c r="N6" s="270"/>
      <c r="O6" s="270"/>
      <c r="P6" s="270"/>
      <c r="Q6" s="270"/>
      <c r="U6" s="180"/>
    </row>
    <row r="7" spans="1:21" s="2" customFormat="1" ht="25.4" customHeight="1">
      <c r="D7" s="10">
        <f>Parameter!H4</f>
        <v>2025</v>
      </c>
      <c r="E7" s="13"/>
      <c r="F7" s="13"/>
      <c r="G7" s="13"/>
      <c r="H7" s="13"/>
      <c r="I7" s="13"/>
      <c r="Q7" s="2">
        <f>SUM(E7:P7)</f>
        <v>0</v>
      </c>
      <c r="U7" s="180"/>
    </row>
    <row r="8" spans="1:21" ht="25.4" customHeight="1">
      <c r="A8" s="174"/>
      <c r="B8" s="174"/>
      <c r="C8" s="174"/>
      <c r="D8" s="175"/>
      <c r="E8" s="271"/>
      <c r="F8" s="271"/>
      <c r="G8" s="271"/>
      <c r="H8" s="271"/>
      <c r="I8" s="271"/>
      <c r="J8" s="272"/>
      <c r="K8" s="272"/>
      <c r="L8" s="273"/>
      <c r="M8" s="272"/>
      <c r="N8" s="272"/>
      <c r="O8" s="272"/>
      <c r="P8" s="272"/>
      <c r="Q8" s="272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/>
      <c r="T9" s="17"/>
      <c r="U9" s="110"/>
    </row>
    <row r="10" spans="1:21" s="4" customFormat="1" ht="40.4" customHeight="1">
      <c r="A10" s="19" t="s">
        <v>18</v>
      </c>
      <c r="B10" s="19" t="s">
        <v>19</v>
      </c>
      <c r="C10" s="19" t="s">
        <v>114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4"/>
      <c r="T10" s="182"/>
      <c r="U10" s="37"/>
    </row>
    <row r="11" spans="1:21" s="3" customFormat="1" ht="25.4" customHeight="1">
      <c r="D11" s="21" t="s">
        <v>115</v>
      </c>
      <c r="E11" s="70"/>
      <c r="F11" s="70"/>
      <c r="G11" s="70"/>
      <c r="H11" s="71"/>
      <c r="I11" s="71"/>
      <c r="L11" s="152"/>
      <c r="U11" s="108"/>
    </row>
    <row r="12" spans="1:21" s="3" customFormat="1" ht="25.4" customHeight="1">
      <c r="A12" s="50" t="s">
        <v>116</v>
      </c>
      <c r="B12" s="3" t="s">
        <v>99</v>
      </c>
      <c r="C12" s="3" t="s">
        <v>117</v>
      </c>
      <c r="D12" s="26" t="s">
        <v>118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>
        <f>SUM(E12:P12)</f>
        <v>0</v>
      </c>
      <c r="R12" s="39">
        <f t="shared" ref="R12:R17" si="0">Q12/$Q$17</f>
        <v>0</v>
      </c>
      <c r="S12" s="39"/>
      <c r="U12" s="108"/>
    </row>
    <row r="13" spans="1:21" s="3" customFormat="1" ht="25.4" customHeight="1">
      <c r="A13" s="50" t="s">
        <v>116</v>
      </c>
      <c r="B13" s="3" t="s">
        <v>99</v>
      </c>
      <c r="C13" s="50" t="s">
        <v>119</v>
      </c>
      <c r="D13" s="26" t="s">
        <v>120</v>
      </c>
      <c r="E13" s="63">
        <v>3000356</v>
      </c>
      <c r="F13" s="63">
        <v>5282327</v>
      </c>
      <c r="G13" s="63">
        <v>1997140</v>
      </c>
      <c r="H13" s="63">
        <v>2104214</v>
      </c>
      <c r="I13" s="63">
        <v>3084053</v>
      </c>
      <c r="J13" s="63">
        <v>2145885</v>
      </c>
      <c r="K13" s="63">
        <v>3680800</v>
      </c>
      <c r="L13" s="63">
        <v>4192630</v>
      </c>
      <c r="M13" s="63">
        <v>2186870</v>
      </c>
      <c r="N13" s="63">
        <v>3274091</v>
      </c>
      <c r="O13" s="63">
        <v>2501482</v>
      </c>
      <c r="P13" s="63">
        <v>3094610</v>
      </c>
      <c r="Q13" s="61">
        <f>SUM(E13:P13)</f>
        <v>36544458</v>
      </c>
      <c r="R13" s="39">
        <f t="shared" si="0"/>
        <v>0.91455211257538938</v>
      </c>
      <c r="S13" s="39"/>
      <c r="T13" s="35"/>
      <c r="U13" s="40"/>
    </row>
    <row r="14" spans="1:21" s="3" customFormat="1" ht="25.4" customHeight="1">
      <c r="A14" s="50" t="s">
        <v>116</v>
      </c>
      <c r="B14" s="3" t="s">
        <v>99</v>
      </c>
      <c r="C14" s="50" t="s">
        <v>121</v>
      </c>
      <c r="D14" s="26" t="s">
        <v>122</v>
      </c>
      <c r="E14" s="63">
        <v>177300</v>
      </c>
      <c r="F14" s="63">
        <v>70800</v>
      </c>
      <c r="G14" s="63">
        <v>334600</v>
      </c>
      <c r="H14" s="63">
        <v>300200</v>
      </c>
      <c r="I14" s="63">
        <v>293000</v>
      </c>
      <c r="J14" s="90">
        <v>232000</v>
      </c>
      <c r="K14" s="90">
        <v>285600</v>
      </c>
      <c r="L14" s="90">
        <v>188200</v>
      </c>
      <c r="M14" s="90">
        <v>108400</v>
      </c>
      <c r="N14" s="90">
        <v>503900</v>
      </c>
      <c r="O14" s="90">
        <v>455200</v>
      </c>
      <c r="P14" s="90">
        <v>465200</v>
      </c>
      <c r="Q14" s="61">
        <f>SUM(E14:P14)</f>
        <v>3414400</v>
      </c>
      <c r="R14" s="39">
        <f t="shared" si="0"/>
        <v>8.5447887424610583E-2</v>
      </c>
      <c r="S14" s="39"/>
      <c r="T14" s="35"/>
      <c r="U14" s="40"/>
    </row>
    <row r="15" spans="1:21" s="3" customFormat="1" ht="25.4" customHeight="1">
      <c r="A15" s="50" t="s">
        <v>116</v>
      </c>
      <c r="B15" s="3" t="s">
        <v>99</v>
      </c>
      <c r="C15" s="50" t="s">
        <v>123</v>
      </c>
      <c r="D15" s="26" t="s">
        <v>124</v>
      </c>
      <c r="E15" s="63"/>
      <c r="F15" s="63"/>
      <c r="G15" s="63"/>
      <c r="H15" s="63"/>
      <c r="I15" s="63"/>
      <c r="J15" s="90"/>
      <c r="K15" s="90"/>
      <c r="L15" s="90"/>
      <c r="M15" s="90"/>
      <c r="N15" s="90"/>
      <c r="O15" s="90"/>
      <c r="P15" s="90"/>
      <c r="Q15" s="61">
        <f>SUM(E15:P15)</f>
        <v>0</v>
      </c>
      <c r="R15" s="39">
        <f t="shared" si="0"/>
        <v>0</v>
      </c>
      <c r="S15" s="39"/>
      <c r="T15" s="35"/>
      <c r="U15" s="40"/>
    </row>
    <row r="16" spans="1:21" s="3" customFormat="1" ht="25.4" customHeight="1">
      <c r="A16" s="50" t="s">
        <v>116</v>
      </c>
      <c r="B16" s="3" t="s">
        <v>99</v>
      </c>
      <c r="C16" s="3" t="s">
        <v>125</v>
      </c>
      <c r="D16" s="26" t="s">
        <v>126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1">
        <f>SUM(E16:P16)</f>
        <v>0</v>
      </c>
      <c r="R16" s="39">
        <f t="shared" si="0"/>
        <v>0</v>
      </c>
      <c r="S16" s="39"/>
      <c r="T16" s="35"/>
      <c r="U16" s="40"/>
    </row>
    <row r="17" spans="1:21" s="3" customFormat="1" ht="25.4" customHeight="1">
      <c r="A17" s="50"/>
      <c r="D17" s="21" t="s">
        <v>127</v>
      </c>
      <c r="E17" s="45">
        <f>SUM(E12:E16)</f>
        <v>3177656</v>
      </c>
      <c r="F17" s="45">
        <f t="shared" ref="F17:P17" si="1">SUM(F12:F16)</f>
        <v>5353127</v>
      </c>
      <c r="G17" s="45">
        <f t="shared" si="1"/>
        <v>2331740</v>
      </c>
      <c r="H17" s="45">
        <f t="shared" si="1"/>
        <v>2404414</v>
      </c>
      <c r="I17" s="45">
        <f t="shared" si="1"/>
        <v>3377053</v>
      </c>
      <c r="J17" s="45">
        <f t="shared" si="1"/>
        <v>2377885</v>
      </c>
      <c r="K17" s="45">
        <f t="shared" si="1"/>
        <v>3966400</v>
      </c>
      <c r="L17" s="45">
        <f t="shared" si="1"/>
        <v>4380830</v>
      </c>
      <c r="M17" s="45">
        <f t="shared" si="1"/>
        <v>2295270</v>
      </c>
      <c r="N17" s="45">
        <f t="shared" si="1"/>
        <v>3777991</v>
      </c>
      <c r="O17" s="45">
        <f t="shared" si="1"/>
        <v>2956682</v>
      </c>
      <c r="P17" s="45">
        <f t="shared" si="1"/>
        <v>3559810</v>
      </c>
      <c r="Q17" s="45">
        <f>SUM(Q12:Q16)</f>
        <v>39958858</v>
      </c>
      <c r="R17" s="39">
        <f t="shared" si="0"/>
        <v>1</v>
      </c>
      <c r="S17" s="61"/>
      <c r="T17" s="35"/>
      <c r="U17" s="40"/>
    </row>
    <row r="18" spans="1:21" s="3" customFormat="1" ht="25.4" customHeight="1">
      <c r="A18" s="252" t="s">
        <v>128</v>
      </c>
      <c r="B18" s="3" t="s">
        <v>99</v>
      </c>
      <c r="D18" s="26" t="s">
        <v>129</v>
      </c>
      <c r="E18" s="63">
        <f>ROUND(E17*0.1,2)</f>
        <v>317765.59999999998</v>
      </c>
      <c r="F18" s="63">
        <f t="shared" ref="F18:P18" si="2">ROUND(F17*0.1,2)</f>
        <v>535312.69999999995</v>
      </c>
      <c r="G18" s="63">
        <f t="shared" si="2"/>
        <v>233174</v>
      </c>
      <c r="H18" s="63">
        <f t="shared" si="2"/>
        <v>240441.4</v>
      </c>
      <c r="I18" s="63">
        <f t="shared" si="2"/>
        <v>337705.3</v>
      </c>
      <c r="J18" s="63">
        <f t="shared" si="2"/>
        <v>237788.5</v>
      </c>
      <c r="K18" s="63">
        <f t="shared" si="2"/>
        <v>396640</v>
      </c>
      <c r="L18" s="63">
        <f t="shared" si="2"/>
        <v>438083</v>
      </c>
      <c r="M18" s="63">
        <f t="shared" si="2"/>
        <v>229527</v>
      </c>
      <c r="N18" s="63">
        <f t="shared" si="2"/>
        <v>377799.1</v>
      </c>
      <c r="O18" s="63">
        <f t="shared" si="2"/>
        <v>295668.2</v>
      </c>
      <c r="P18" s="63">
        <f t="shared" si="2"/>
        <v>355981</v>
      </c>
      <c r="Q18" s="61">
        <f>SUM(E18:P18)</f>
        <v>3995885.8000000003</v>
      </c>
      <c r="S18" s="39"/>
      <c r="T18" s="35"/>
      <c r="U18" s="40"/>
    </row>
    <row r="19" spans="1:21" s="3" customFormat="1" ht="25.4" customHeight="1">
      <c r="A19" s="50" t="s">
        <v>130</v>
      </c>
      <c r="B19" s="3" t="s">
        <v>99</v>
      </c>
      <c r="D19" s="26" t="s">
        <v>131</v>
      </c>
      <c r="E19" s="63"/>
      <c r="F19" s="63"/>
      <c r="G19" s="63"/>
      <c r="H19" s="63"/>
      <c r="I19" s="63"/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1">
        <f>SUM(E19:P19)</f>
        <v>0</v>
      </c>
      <c r="T19" s="35"/>
      <c r="U19" s="40"/>
    </row>
    <row r="20" spans="1:21" s="3" customFormat="1" ht="25.4" customHeight="1">
      <c r="A20" s="50"/>
      <c r="D20" s="21" t="s">
        <v>132</v>
      </c>
      <c r="E20" s="45">
        <f>E17+E18+E19</f>
        <v>3495421.6</v>
      </c>
      <c r="F20" s="45">
        <f t="shared" ref="F20:Q20" si="3">F17+F18+F19</f>
        <v>5888439.7000000002</v>
      </c>
      <c r="G20" s="45">
        <f t="shared" si="3"/>
        <v>2564914</v>
      </c>
      <c r="H20" s="45">
        <f t="shared" si="3"/>
        <v>2644855.4</v>
      </c>
      <c r="I20" s="45">
        <f t="shared" si="3"/>
        <v>3714758.3</v>
      </c>
      <c r="J20" s="45">
        <f t="shared" si="3"/>
        <v>2615673.5</v>
      </c>
      <c r="K20" s="45">
        <f t="shared" si="3"/>
        <v>4363040</v>
      </c>
      <c r="L20" s="45">
        <f t="shared" si="3"/>
        <v>4818913</v>
      </c>
      <c r="M20" s="45">
        <f t="shared" si="3"/>
        <v>2524797</v>
      </c>
      <c r="N20" s="45">
        <f t="shared" si="3"/>
        <v>4155790.1</v>
      </c>
      <c r="O20" s="45">
        <f t="shared" si="3"/>
        <v>3252350.2</v>
      </c>
      <c r="P20" s="45">
        <f t="shared" si="3"/>
        <v>3915791</v>
      </c>
      <c r="Q20" s="45">
        <f t="shared" si="3"/>
        <v>43954743.799999997</v>
      </c>
      <c r="T20" s="35"/>
      <c r="U20" s="40"/>
    </row>
    <row r="21" spans="1:21" s="3" customFormat="1" ht="25.4" customHeight="1">
      <c r="D21" s="26"/>
      <c r="E21" s="106"/>
      <c r="F21" s="43"/>
      <c r="G21" s="106"/>
      <c r="H21" s="25"/>
      <c r="I21" s="25"/>
      <c r="L21" s="181"/>
      <c r="T21" s="35"/>
      <c r="U21" s="108"/>
    </row>
    <row r="22" spans="1:21" s="3" customFormat="1" ht="25.4" customHeight="1">
      <c r="D22" s="21" t="s">
        <v>133</v>
      </c>
      <c r="E22" s="106"/>
      <c r="F22" s="24"/>
      <c r="G22" s="106"/>
      <c r="H22" s="25"/>
      <c r="I22" s="25"/>
      <c r="L22" s="152"/>
      <c r="T22" s="35"/>
      <c r="U22" s="108"/>
    </row>
    <row r="23" spans="1:21" s="3" customFormat="1" ht="25.4" customHeight="1">
      <c r="D23" s="26" t="s">
        <v>118</v>
      </c>
      <c r="E23" s="106"/>
      <c r="F23" s="24"/>
      <c r="G23" s="106"/>
      <c r="H23" s="25"/>
      <c r="I23" s="25"/>
      <c r="J23" s="25"/>
      <c r="K23" s="25"/>
      <c r="L23" s="25"/>
      <c r="M23" s="25"/>
      <c r="N23" s="25"/>
      <c r="O23" s="25"/>
      <c r="P23" s="25"/>
      <c r="Q23" s="61">
        <f>SUM(E23:P23)</f>
        <v>0</v>
      </c>
      <c r="T23" s="35"/>
      <c r="U23" s="108"/>
    </row>
    <row r="24" spans="1:21" s="3" customFormat="1" ht="25.4" customHeight="1">
      <c r="D24" s="26" t="s">
        <v>120</v>
      </c>
      <c r="E24" s="106">
        <v>1610</v>
      </c>
      <c r="F24" s="106">
        <v>2468</v>
      </c>
      <c r="G24" s="106">
        <v>1570</v>
      </c>
      <c r="H24" s="106">
        <v>1634</v>
      </c>
      <c r="I24" s="25">
        <v>1943</v>
      </c>
      <c r="J24" s="25">
        <v>1690</v>
      </c>
      <c r="K24" s="25">
        <v>2692</v>
      </c>
      <c r="L24" s="25">
        <v>3009</v>
      </c>
      <c r="M24" s="25">
        <v>1705</v>
      </c>
      <c r="N24" s="25">
        <v>1796</v>
      </c>
      <c r="O24" s="25">
        <v>1724</v>
      </c>
      <c r="P24" s="25">
        <v>2002</v>
      </c>
      <c r="Q24" s="61">
        <f>SUM(E24:P24)</f>
        <v>23843</v>
      </c>
      <c r="T24" s="35"/>
      <c r="U24" s="40"/>
    </row>
    <row r="25" spans="1:21" s="3" customFormat="1" ht="25.4" customHeight="1">
      <c r="D25" s="26" t="s">
        <v>122</v>
      </c>
      <c r="E25" s="106">
        <v>180</v>
      </c>
      <c r="F25" s="106">
        <v>60</v>
      </c>
      <c r="G25" s="106">
        <v>371</v>
      </c>
      <c r="H25" s="106">
        <v>350</v>
      </c>
      <c r="I25" s="25">
        <v>290</v>
      </c>
      <c r="J25" s="25">
        <v>250</v>
      </c>
      <c r="K25" s="25">
        <v>310</v>
      </c>
      <c r="L25" s="25">
        <v>190</v>
      </c>
      <c r="M25" s="25">
        <v>130</v>
      </c>
      <c r="N25" s="25">
        <v>505</v>
      </c>
      <c r="O25" s="25">
        <v>470</v>
      </c>
      <c r="P25" s="25">
        <v>480</v>
      </c>
      <c r="Q25" s="61">
        <f>SUM(E25:P25)</f>
        <v>3586</v>
      </c>
      <c r="T25" s="35"/>
      <c r="U25" s="40"/>
    </row>
    <row r="26" spans="1:21" s="3" customFormat="1" ht="25.4" customHeight="1">
      <c r="D26" s="26" t="s">
        <v>124</v>
      </c>
      <c r="E26" s="106"/>
      <c r="F26" s="106"/>
      <c r="G26" s="106"/>
      <c r="H26" s="106"/>
      <c r="I26" s="25"/>
      <c r="J26" s="25"/>
      <c r="K26" s="25"/>
      <c r="L26" s="25"/>
      <c r="M26" s="25"/>
      <c r="N26" s="25"/>
      <c r="O26" s="25"/>
      <c r="P26" s="25"/>
      <c r="Q26" s="61">
        <f t="shared" ref="Q26:Q29" si="4">SUM(E26:P26)</f>
        <v>0</v>
      </c>
      <c r="T26" s="35"/>
      <c r="U26" s="40"/>
    </row>
    <row r="27" spans="1:21" s="3" customFormat="1" ht="25.4" customHeight="1">
      <c r="D27" s="26" t="s">
        <v>126</v>
      </c>
      <c r="E27" s="106"/>
      <c r="F27" s="106"/>
      <c r="G27" s="106"/>
      <c r="H27" s="106"/>
      <c r="I27" s="25"/>
      <c r="J27" s="25"/>
      <c r="K27" s="25"/>
      <c r="L27" s="25"/>
      <c r="M27" s="25"/>
      <c r="N27" s="25"/>
      <c r="O27" s="25"/>
      <c r="P27" s="25"/>
      <c r="Q27" s="61">
        <f t="shared" si="4"/>
        <v>0</v>
      </c>
      <c r="T27" s="35"/>
      <c r="U27" s="40"/>
    </row>
    <row r="28" spans="1:21" s="3" customFormat="1" ht="25.4" customHeight="1">
      <c r="D28" s="26" t="s">
        <v>134</v>
      </c>
      <c r="E28" s="106">
        <f>SUM(E23:E27)</f>
        <v>1790</v>
      </c>
      <c r="F28" s="106">
        <f t="shared" ref="F28:P28" si="5">SUM(F23:F27)</f>
        <v>2528</v>
      </c>
      <c r="G28" s="106">
        <f t="shared" si="5"/>
        <v>1941</v>
      </c>
      <c r="H28" s="106">
        <f t="shared" si="5"/>
        <v>1984</v>
      </c>
      <c r="I28" s="106">
        <f t="shared" si="5"/>
        <v>2233</v>
      </c>
      <c r="J28" s="106">
        <f t="shared" si="5"/>
        <v>1940</v>
      </c>
      <c r="K28" s="106">
        <f t="shared" si="5"/>
        <v>3002</v>
      </c>
      <c r="L28" s="106">
        <f t="shared" si="5"/>
        <v>3199</v>
      </c>
      <c r="M28" s="106">
        <f t="shared" si="5"/>
        <v>1835</v>
      </c>
      <c r="N28" s="106">
        <f t="shared" si="5"/>
        <v>2301</v>
      </c>
      <c r="O28" s="106">
        <f t="shared" si="5"/>
        <v>2194</v>
      </c>
      <c r="P28" s="106">
        <f t="shared" si="5"/>
        <v>2482</v>
      </c>
      <c r="Q28" s="61">
        <f t="shared" si="4"/>
        <v>27429</v>
      </c>
      <c r="T28" s="35"/>
      <c r="U28" s="40"/>
    </row>
    <row r="29" spans="1:21" s="3" customFormat="1" ht="25.4" customHeight="1">
      <c r="D29" s="26" t="s">
        <v>135</v>
      </c>
      <c r="E29" s="106">
        <f>E107</f>
        <v>4526</v>
      </c>
      <c r="F29" s="106">
        <f t="shared" ref="F29:P29" si="6">F107</f>
        <v>4088</v>
      </c>
      <c r="G29" s="106">
        <f t="shared" si="6"/>
        <v>4526</v>
      </c>
      <c r="H29" s="106">
        <f t="shared" si="6"/>
        <v>4380</v>
      </c>
      <c r="I29" s="106">
        <f t="shared" si="6"/>
        <v>4526</v>
      </c>
      <c r="J29" s="106">
        <f t="shared" si="6"/>
        <v>4380</v>
      </c>
      <c r="K29" s="106">
        <f t="shared" si="6"/>
        <v>4526</v>
      </c>
      <c r="L29" s="106">
        <f t="shared" si="6"/>
        <v>4526</v>
      </c>
      <c r="M29" s="106">
        <f t="shared" si="6"/>
        <v>4380</v>
      </c>
      <c r="N29" s="106">
        <f t="shared" si="6"/>
        <v>4526</v>
      </c>
      <c r="O29" s="106">
        <f t="shared" si="6"/>
        <v>4380</v>
      </c>
      <c r="P29" s="106">
        <f t="shared" si="6"/>
        <v>4526</v>
      </c>
      <c r="Q29" s="61">
        <f t="shared" si="4"/>
        <v>53290</v>
      </c>
      <c r="T29" s="35"/>
      <c r="U29" s="40"/>
    </row>
    <row r="30" spans="1:21" s="3" customFormat="1" ht="25.4" customHeight="1">
      <c r="D30" s="26" t="s">
        <v>136</v>
      </c>
      <c r="E30" s="107">
        <f>E28/E29</f>
        <v>0.39549270879363674</v>
      </c>
      <c r="F30" s="107">
        <f t="shared" ref="F30:Q30" si="7">F28/F29</f>
        <v>0.61839530332681014</v>
      </c>
      <c r="G30" s="107">
        <f t="shared" si="7"/>
        <v>0.42885550154661956</v>
      </c>
      <c r="H30" s="107">
        <f t="shared" si="7"/>
        <v>0.45296803652968037</v>
      </c>
      <c r="I30" s="107">
        <f t="shared" si="7"/>
        <v>0.49337163057887762</v>
      </c>
      <c r="J30" s="107">
        <f t="shared" si="7"/>
        <v>0.44292237442922372</v>
      </c>
      <c r="K30" s="107">
        <f t="shared" si="7"/>
        <v>0.6632788334069819</v>
      </c>
      <c r="L30" s="107">
        <f t="shared" si="7"/>
        <v>0.70680512593901901</v>
      </c>
      <c r="M30" s="107">
        <f t="shared" si="7"/>
        <v>0.41894977168949771</v>
      </c>
      <c r="N30" s="107">
        <f t="shared" si="7"/>
        <v>0.50839593460008836</v>
      </c>
      <c r="O30" s="107">
        <f t="shared" si="7"/>
        <v>0.50091324200913245</v>
      </c>
      <c r="P30" s="107">
        <f t="shared" si="7"/>
        <v>0.54838709677419351</v>
      </c>
      <c r="Q30" s="107">
        <f t="shared" si="7"/>
        <v>0.51471195346218801</v>
      </c>
      <c r="T30" s="108"/>
      <c r="U30" s="40"/>
    </row>
    <row r="31" spans="1:21" s="3" customFormat="1" ht="25.4" customHeight="1">
      <c r="D31" s="26" t="s">
        <v>137</v>
      </c>
      <c r="E31" s="106">
        <f>E20/E28</f>
        <v>1952.7494972067041</v>
      </c>
      <c r="F31" s="106">
        <f t="shared" ref="F31:Q31" si="8">F20/F28</f>
        <v>2329.2878560126583</v>
      </c>
      <c r="G31" s="106">
        <f t="shared" si="8"/>
        <v>1321.4394641937147</v>
      </c>
      <c r="H31" s="106">
        <f t="shared" si="8"/>
        <v>1333.0924395161289</v>
      </c>
      <c r="I31" s="106">
        <f t="shared" si="8"/>
        <v>1663.5729064039408</v>
      </c>
      <c r="J31" s="106">
        <f t="shared" si="8"/>
        <v>1348.2853092783505</v>
      </c>
      <c r="K31" s="106">
        <f t="shared" si="8"/>
        <v>1453.3777481678881</v>
      </c>
      <c r="L31" s="106">
        <f t="shared" si="8"/>
        <v>1506.3810565801814</v>
      </c>
      <c r="M31" s="106">
        <f t="shared" si="8"/>
        <v>1375.9111716621253</v>
      </c>
      <c r="N31" s="106">
        <f t="shared" si="8"/>
        <v>1806.0800086918732</v>
      </c>
      <c r="O31" s="106">
        <f t="shared" si="8"/>
        <v>1482.3838650865998</v>
      </c>
      <c r="P31" s="106">
        <f t="shared" si="8"/>
        <v>1577.6756647864624</v>
      </c>
      <c r="Q31" s="106">
        <f t="shared" si="8"/>
        <v>1602.491662109446</v>
      </c>
      <c r="T31" s="35"/>
      <c r="U31" s="40"/>
    </row>
    <row r="32" spans="1:21" s="3" customFormat="1" ht="25.4" customHeight="1">
      <c r="D32" s="26"/>
      <c r="E32" s="106"/>
      <c r="F32" s="24"/>
      <c r="G32" s="106"/>
      <c r="H32" s="25"/>
      <c r="I32" s="25"/>
      <c r="L32" s="152"/>
      <c r="T32" s="35"/>
      <c r="U32" s="108"/>
    </row>
    <row r="33" spans="1:21" s="3" customFormat="1" ht="25.4" customHeight="1">
      <c r="A33" s="3" t="s">
        <v>106</v>
      </c>
      <c r="B33" s="50" t="s">
        <v>138</v>
      </c>
      <c r="D33" s="21" t="s">
        <v>139</v>
      </c>
      <c r="E33" s="45">
        <f>'Front Office'!E11+HSKP!E11+Reservation!E11+'ROOMS Admin'!E11</f>
        <v>668145.1100000001</v>
      </c>
      <c r="F33" s="45">
        <f>'Front Office'!F11+HSKP!F11+Reservation!F11+'ROOMS Admin'!F11</f>
        <v>658633.78</v>
      </c>
      <c r="G33" s="45">
        <f>'Front Office'!G11+HSKP!G11+Reservation!G11+'ROOMS Admin'!G11</f>
        <v>627963.5</v>
      </c>
      <c r="H33" s="45">
        <f>'Front Office'!H11+HSKP!H11+Reservation!H11+'ROOMS Admin'!H11</f>
        <v>651130.75</v>
      </c>
      <c r="I33" s="45">
        <f>'Front Office'!I11+HSKP!I11+Reservation!I11+'ROOMS Admin'!I11</f>
        <v>668665.07999999996</v>
      </c>
      <c r="J33" s="45">
        <f>'Front Office'!J11+HSKP!J11+Reservation!J11+'ROOMS Admin'!J11</f>
        <v>635219.00999999989</v>
      </c>
      <c r="K33" s="45">
        <f>'Front Office'!K11+HSKP!K11+Reservation!K11+'ROOMS Admin'!K11</f>
        <v>678254.71</v>
      </c>
      <c r="L33" s="45">
        <f>'Front Office'!L11+HSKP!L11+Reservation!L11+'ROOMS Admin'!L11</f>
        <v>683278.47</v>
      </c>
      <c r="M33" s="45">
        <f>'Front Office'!M11+HSKP!M11+Reservation!M11+'ROOMS Admin'!M11</f>
        <v>630178.25999999989</v>
      </c>
      <c r="N33" s="45">
        <f>'Front Office'!N11+HSKP!N11+Reservation!N11+'ROOMS Admin'!N11</f>
        <v>701112.46999999986</v>
      </c>
      <c r="O33" s="45">
        <f>'Front Office'!O11+HSKP!O11+Reservation!O11+'ROOMS Admin'!O11</f>
        <v>643845.05999999994</v>
      </c>
      <c r="P33" s="45">
        <f>'Front Office'!P11+HSKP!P11+Reservation!P11+'ROOMS Admin'!P11</f>
        <v>654279.42999999993</v>
      </c>
      <c r="Q33" s="161">
        <f>SUM(E33:P33)</f>
        <v>7900705.629999998</v>
      </c>
      <c r="R33" s="39">
        <f>Q33/$Q$20</f>
        <v>0.17974636971948404</v>
      </c>
      <c r="S33" s="305">
        <f>Q33/Q28</f>
        <v>288.042058769915</v>
      </c>
      <c r="T33" s="35"/>
      <c r="U33" s="40"/>
    </row>
    <row r="34" spans="1:21" s="3" customFormat="1" ht="25.4" customHeight="1">
      <c r="D34" s="26"/>
      <c r="S34" s="39"/>
      <c r="T34" s="35"/>
      <c r="U34" s="108"/>
    </row>
    <row r="35" spans="1:21" s="3" customFormat="1" ht="24.65" customHeight="1">
      <c r="D35" s="21" t="s">
        <v>140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R35" s="34" t="s">
        <v>141</v>
      </c>
      <c r="S35" s="183"/>
      <c r="T35" s="35"/>
      <c r="U35" s="108"/>
    </row>
    <row r="36" spans="1:21" s="3" customFormat="1" ht="25.4" customHeight="1">
      <c r="A36" s="3" t="s">
        <v>142</v>
      </c>
      <c r="B36" s="50" t="s">
        <v>138</v>
      </c>
      <c r="D36" s="26" t="s">
        <v>143</v>
      </c>
      <c r="E36" s="63">
        <f>'Front Office'!E14+HSKP!E14+Reservation!E14+'ROOMS Admin'!E14</f>
        <v>0</v>
      </c>
      <c r="F36" s="63">
        <f>'Front Office'!F14+HSKP!F14+Reservation!F14+'ROOMS Admin'!F14</f>
        <v>0</v>
      </c>
      <c r="G36" s="63">
        <f>'Front Office'!G14+HSKP!G14+Reservation!G14+'ROOMS Admin'!G14</f>
        <v>0</v>
      </c>
      <c r="H36" s="63">
        <f>'Front Office'!H14+HSKP!H14+Reservation!H14+'ROOMS Admin'!H14</f>
        <v>0</v>
      </c>
      <c r="I36" s="63">
        <f>'Front Office'!I14+HSKP!I14+Reservation!I14+'ROOMS Admin'!I14</f>
        <v>0</v>
      </c>
      <c r="J36" s="63">
        <f>'Front Office'!J14+HSKP!J14+Reservation!J14+'ROOMS Admin'!J14</f>
        <v>0</v>
      </c>
      <c r="K36" s="63">
        <f>'Front Office'!K14+HSKP!K14+Reservation!K14+'ROOMS Admin'!K14</f>
        <v>0</v>
      </c>
      <c r="L36" s="63">
        <f>'Front Office'!L14+HSKP!L14+Reservation!L14+'ROOMS Admin'!L14</f>
        <v>0</v>
      </c>
      <c r="M36" s="63">
        <f>'Front Office'!M14+HSKP!M14+Reservation!M14+'ROOMS Admin'!M14</f>
        <v>0</v>
      </c>
      <c r="N36" s="63">
        <f>'Front Office'!N14+HSKP!N14+Reservation!N14+'ROOMS Admin'!N14</f>
        <v>0</v>
      </c>
      <c r="O36" s="63">
        <f>'Front Office'!O14+HSKP!O14+Reservation!O14+'ROOMS Admin'!O14</f>
        <v>0</v>
      </c>
      <c r="P36" s="63">
        <f>'Front Office'!P14+HSKP!P14+Reservation!P14+'ROOMS Admin'!P14</f>
        <v>0</v>
      </c>
      <c r="Q36" s="61">
        <f>SUM(E36:P36)</f>
        <v>0</v>
      </c>
      <c r="R36" s="3">
        <f t="shared" ref="R36:R67" si="9">Q36/$Q$111</f>
        <v>0</v>
      </c>
      <c r="S36" s="137">
        <f>Q36/$Q$20</f>
        <v>0</v>
      </c>
      <c r="T36" s="283">
        <v>26.388483560545311</v>
      </c>
      <c r="U36" s="40"/>
    </row>
    <row r="37" spans="1:21" s="3" customFormat="1" ht="25.4" customHeight="1">
      <c r="A37" s="3" t="s">
        <v>144</v>
      </c>
      <c r="B37" s="50" t="s">
        <v>138</v>
      </c>
      <c r="D37" s="26" t="s">
        <v>145</v>
      </c>
      <c r="E37" s="63">
        <f>'Front Office'!E15+HSKP!E15+Reservation!E15+'ROOMS Admin'!E15</f>
        <v>0</v>
      </c>
      <c r="F37" s="63">
        <f>'Front Office'!F15+HSKP!F15+Reservation!F15+'ROOMS Admin'!F15</f>
        <v>0</v>
      </c>
      <c r="G37" s="63">
        <f>'Front Office'!G15+HSKP!G15+Reservation!G15+'ROOMS Admin'!G15</f>
        <v>0</v>
      </c>
      <c r="H37" s="63">
        <f>'Front Office'!H15+HSKP!H15+Reservation!H15+'ROOMS Admin'!H15</f>
        <v>0</v>
      </c>
      <c r="I37" s="63">
        <f>'Front Office'!I15+HSKP!I15+Reservation!I15+'ROOMS Admin'!I15</f>
        <v>0</v>
      </c>
      <c r="J37" s="63">
        <f>'Front Office'!J15+HSKP!J15+Reservation!J15+'ROOMS Admin'!J15</f>
        <v>0</v>
      </c>
      <c r="K37" s="63">
        <f>'Front Office'!K15+HSKP!K15+Reservation!K15+'ROOMS Admin'!K15</f>
        <v>0</v>
      </c>
      <c r="L37" s="63">
        <f>'Front Office'!L15+HSKP!L15+Reservation!L15+'ROOMS Admin'!L15</f>
        <v>0</v>
      </c>
      <c r="M37" s="63">
        <f>'Front Office'!M15+HSKP!M15+Reservation!M15+'ROOMS Admin'!M15</f>
        <v>0</v>
      </c>
      <c r="N37" s="63">
        <f>'Front Office'!N15+HSKP!N15+Reservation!N15+'ROOMS Admin'!N15</f>
        <v>0</v>
      </c>
      <c r="O37" s="63">
        <f>'Front Office'!O15+HSKP!O15+Reservation!O15+'ROOMS Admin'!O15</f>
        <v>0</v>
      </c>
      <c r="P37" s="63">
        <f>'Front Office'!P15+HSKP!P15+Reservation!P15+'ROOMS Admin'!P15</f>
        <v>0</v>
      </c>
      <c r="Q37" s="61">
        <f t="shared" ref="Q37:Q100" si="10">SUM(E37:P37)</f>
        <v>0</v>
      </c>
      <c r="R37" s="3">
        <f t="shared" si="9"/>
        <v>0</v>
      </c>
      <c r="S37" s="137">
        <f t="shared" ref="S37:S100" si="11">Q37/$Q$20</f>
        <v>0</v>
      </c>
      <c r="T37" s="283">
        <v>0</v>
      </c>
      <c r="U37" s="40"/>
    </row>
    <row r="38" spans="1:21" s="3" customFormat="1" ht="25.4" customHeight="1">
      <c r="A38" s="3" t="s">
        <v>146</v>
      </c>
      <c r="B38" s="50" t="s">
        <v>138</v>
      </c>
      <c r="D38" s="26" t="s">
        <v>147</v>
      </c>
      <c r="E38" s="63">
        <f>'Front Office'!E16+HSKP!E16+Reservation!E16+'ROOMS Admin'!E16</f>
        <v>4273.5</v>
      </c>
      <c r="F38" s="63">
        <f>'Front Office'!F16+HSKP!F16+Reservation!F16+'ROOMS Admin'!F16</f>
        <v>11356.5</v>
      </c>
      <c r="G38" s="63">
        <f>'Front Office'!G16+HSKP!G16+Reservation!G16+'ROOMS Admin'!G16</f>
        <v>2025</v>
      </c>
      <c r="H38" s="63">
        <f>'Front Office'!H16+HSKP!H16+Reservation!H16+'ROOMS Admin'!H16</f>
        <v>2058</v>
      </c>
      <c r="I38" s="63">
        <f>'Front Office'!I16+HSKP!I16+Reservation!I16+'ROOMS Admin'!I16</f>
        <v>3036</v>
      </c>
      <c r="J38" s="63">
        <f>'Front Office'!J16+HSKP!J16+Reservation!J16+'ROOMS Admin'!J16</f>
        <v>1179</v>
      </c>
      <c r="K38" s="63">
        <f>'Front Office'!K16+HSKP!K16+Reservation!K16+'ROOMS Admin'!K16</f>
        <v>2880</v>
      </c>
      <c r="L38" s="63">
        <f>'Front Office'!L16+HSKP!L16+Reservation!L16+'ROOMS Admin'!L16</f>
        <v>4517.0999999999995</v>
      </c>
      <c r="M38" s="63">
        <f>'Front Office'!M16+HSKP!M16+Reservation!M16+'ROOMS Admin'!M16</f>
        <v>1179</v>
      </c>
      <c r="N38" s="63">
        <f>'Front Office'!N16+HSKP!N16+Reservation!N16+'ROOMS Admin'!N16</f>
        <v>2784</v>
      </c>
      <c r="O38" s="63">
        <f>'Front Office'!O16+HSKP!O16+Reservation!O16+'ROOMS Admin'!O16</f>
        <v>3798</v>
      </c>
      <c r="P38" s="63">
        <f>'Front Office'!P16+HSKP!P16+Reservation!P16+'ROOMS Admin'!P16</f>
        <v>3798</v>
      </c>
      <c r="Q38" s="61">
        <f t="shared" si="10"/>
        <v>42884.1</v>
      </c>
      <c r="R38" s="3">
        <f t="shared" si="9"/>
        <v>1.5634583834627584</v>
      </c>
      <c r="S38" s="137">
        <f t="shared" si="11"/>
        <v>9.7564213307961545E-4</v>
      </c>
      <c r="T38" s="283">
        <v>0</v>
      </c>
      <c r="U38" s="40"/>
    </row>
    <row r="39" spans="1:21" s="3" customFormat="1" ht="24.65" customHeight="1">
      <c r="A39" s="3" t="s">
        <v>148</v>
      </c>
      <c r="B39" s="50" t="s">
        <v>138</v>
      </c>
      <c r="D39" s="26" t="s">
        <v>149</v>
      </c>
      <c r="E39" s="63">
        <f>'Front Office'!E17+HSKP!E17+Reservation!E17+'ROOMS Admin'!E17</f>
        <v>180918</v>
      </c>
      <c r="F39" s="63">
        <f>'Front Office'!F17+HSKP!F17+Reservation!F17+'ROOMS Admin'!F17</f>
        <v>318481.95199999999</v>
      </c>
      <c r="G39" s="63">
        <f>'Front Office'!G17+HSKP!G17+Reservation!G17+'ROOMS Admin'!G17</f>
        <v>111522.4</v>
      </c>
      <c r="H39" s="63">
        <f>'Front Office'!H17+HSKP!H17+Reservation!H17+'ROOMS Admin'!H17</f>
        <v>119312.4</v>
      </c>
      <c r="I39" s="63">
        <f>'Front Office'!I17+HSKP!I17+Reservation!I17+'ROOMS Admin'!I17</f>
        <v>185456.72</v>
      </c>
      <c r="J39" s="63">
        <f>'Front Office'!J17+HSKP!J17+Reservation!J17+'ROOMS Admin'!J17</f>
        <v>115428.79999999999</v>
      </c>
      <c r="K39" s="63">
        <f>'Front Office'!K17+HSKP!K17+Reservation!K17+'ROOMS Admin'!K17</f>
        <v>211006.4</v>
      </c>
      <c r="L39" s="63">
        <f>'Front Office'!L17+HSKP!L17+Reservation!L17+'ROOMS Admin'!L17</f>
        <v>237477.19999999998</v>
      </c>
      <c r="M39" s="63">
        <f>'Front Office'!M17+HSKP!M17+Reservation!M17+'ROOMS Admin'!M17</f>
        <v>121866</v>
      </c>
      <c r="N39" s="63">
        <f>'Front Office'!N17+HSKP!N17+Reservation!N17+'ROOMS Admin'!N17</f>
        <v>201723</v>
      </c>
      <c r="O39" s="63">
        <f>'Front Office'!O17+HSKP!O17+Reservation!O17+'ROOMS Admin'!O17</f>
        <v>135899.4</v>
      </c>
      <c r="P39" s="63">
        <f>'Front Office'!P17+HSKP!P17+Reservation!P17+'ROOMS Admin'!P17</f>
        <v>172657.56</v>
      </c>
      <c r="Q39" s="61">
        <f t="shared" si="10"/>
        <v>2111749.8319999995</v>
      </c>
      <c r="R39" s="3">
        <f t="shared" si="9"/>
        <v>76.989676327974024</v>
      </c>
      <c r="S39" s="137">
        <f t="shared" si="11"/>
        <v>4.804372974186235E-2</v>
      </c>
      <c r="T39" s="283">
        <v>0</v>
      </c>
      <c r="U39" s="40"/>
    </row>
    <row r="40" spans="1:21" s="3" customFormat="1" ht="25.4" customHeight="1">
      <c r="A40" s="3" t="s">
        <v>150</v>
      </c>
      <c r="B40" s="50" t="s">
        <v>138</v>
      </c>
      <c r="D40" s="26" t="s">
        <v>151</v>
      </c>
      <c r="E40" s="63">
        <f>'Front Office'!E18+HSKP!E18+Reservation!E18+'ROOMS Admin'!E18</f>
        <v>55230</v>
      </c>
      <c r="F40" s="63">
        <f>'Front Office'!F18+HSKP!F18+Reservation!F18+'ROOMS Admin'!F18</f>
        <v>77056</v>
      </c>
      <c r="G40" s="63">
        <f>'Front Office'!G18+HSKP!G18+Reservation!G18+'ROOMS Admin'!G18</f>
        <v>59307</v>
      </c>
      <c r="H40" s="63">
        <f>'Front Office'!H18+HSKP!H18+Reservation!H18+'ROOMS Admin'!H18</f>
        <v>60468</v>
      </c>
      <c r="I40" s="63">
        <f>'Front Office'!I18+HSKP!I18+Reservation!I18+'ROOMS Admin'!I18</f>
        <v>67191</v>
      </c>
      <c r="J40" s="63">
        <f>'Front Office'!J18+HSKP!J18+Reservation!J18+'ROOMS Admin'!J18</f>
        <v>59280</v>
      </c>
      <c r="K40" s="63">
        <f>'Front Office'!K18+HSKP!K18+Reservation!K18+'ROOMS Admin'!K18</f>
        <v>92554</v>
      </c>
      <c r="L40" s="63">
        <f>'Front Office'!L18+HSKP!L18+Reservation!L18+'ROOMS Admin'!L18</f>
        <v>97873</v>
      </c>
      <c r="M40" s="63">
        <f>'Front Office'!M18+HSKP!M18+Reservation!M18+'ROOMS Admin'!M18</f>
        <v>56445</v>
      </c>
      <c r="N40" s="63">
        <f>'Front Office'!N18+HSKP!N18+Reservation!N18+'ROOMS Admin'!N18</f>
        <v>69727</v>
      </c>
      <c r="O40" s="63">
        <f>'Front Office'!O18+HSKP!O18+Reservation!O18+'ROOMS Admin'!O18</f>
        <v>66138</v>
      </c>
      <c r="P40" s="63">
        <f>'Front Office'!P18+HSKP!P18+Reservation!P18+'ROOMS Admin'!P18</f>
        <v>74214</v>
      </c>
      <c r="Q40" s="61">
        <f t="shared" si="10"/>
        <v>835483</v>
      </c>
      <c r="R40" s="3">
        <f t="shared" si="9"/>
        <v>30.459841773305627</v>
      </c>
      <c r="S40" s="137">
        <f t="shared" si="11"/>
        <v>1.9007800473176687E-2</v>
      </c>
      <c r="T40" s="283">
        <v>1.5628584603047315</v>
      </c>
      <c r="U40" s="40"/>
    </row>
    <row r="41" spans="1:21" s="3" customFormat="1" ht="24.75" customHeight="1">
      <c r="A41" s="3" t="s">
        <v>152</v>
      </c>
      <c r="B41" s="50" t="s">
        <v>138</v>
      </c>
      <c r="D41" s="26" t="s">
        <v>153</v>
      </c>
      <c r="E41" s="63">
        <f>'Front Office'!E19+HSKP!E19+Reservation!E19+'ROOMS Admin'!E19</f>
        <v>48330</v>
      </c>
      <c r="F41" s="63">
        <f>'Front Office'!F19+HSKP!F19+Reservation!F19+'ROOMS Admin'!F19</f>
        <v>68256</v>
      </c>
      <c r="G41" s="63">
        <f>'Front Office'!G19+HSKP!G19+Reservation!G19+'ROOMS Admin'!G19</f>
        <v>52407</v>
      </c>
      <c r="H41" s="63">
        <f>'Front Office'!H19+HSKP!H19+Reservation!H19+'ROOMS Admin'!H19</f>
        <v>53568</v>
      </c>
      <c r="I41" s="63">
        <f>'Front Office'!I19+HSKP!I19+Reservation!I19+'ROOMS Admin'!I19</f>
        <v>60291</v>
      </c>
      <c r="J41" s="63">
        <f>'Front Office'!J19+HSKP!J19+Reservation!J19+'ROOMS Admin'!J19</f>
        <v>52380</v>
      </c>
      <c r="K41" s="63">
        <f>'Front Office'!K19+HSKP!K19+Reservation!K19+'ROOMS Admin'!K19</f>
        <v>81054</v>
      </c>
      <c r="L41" s="63">
        <f>'Front Office'!L19+HSKP!L19+Reservation!L19+'ROOMS Admin'!L19</f>
        <v>86373</v>
      </c>
      <c r="M41" s="63">
        <f>'Front Office'!M19+HSKP!M19+Reservation!M19+'ROOMS Admin'!M19</f>
        <v>49545</v>
      </c>
      <c r="N41" s="63">
        <f>'Front Office'!N19+HSKP!N19+Reservation!N19+'ROOMS Admin'!N19</f>
        <v>62127</v>
      </c>
      <c r="O41" s="63">
        <f>'Front Office'!O19+HSKP!O19+Reservation!O19+'ROOMS Admin'!O19</f>
        <v>59238</v>
      </c>
      <c r="P41" s="63">
        <f>'Front Office'!P19+HSKP!P19+Reservation!P19+'ROOMS Admin'!P19</f>
        <v>67014</v>
      </c>
      <c r="Q41" s="61">
        <f t="shared" si="10"/>
        <v>740583</v>
      </c>
      <c r="R41" s="3">
        <f t="shared" si="9"/>
        <v>27</v>
      </c>
      <c r="S41" s="137">
        <f t="shared" si="11"/>
        <v>1.6848761611937779E-2</v>
      </c>
      <c r="T41" s="283">
        <v>1.4145028067361667</v>
      </c>
      <c r="U41" s="40"/>
    </row>
    <row r="42" spans="1:21" s="3" customFormat="1" ht="25.4" customHeight="1">
      <c r="A42" s="3" t="s">
        <v>154</v>
      </c>
      <c r="B42" s="50" t="s">
        <v>138</v>
      </c>
      <c r="D42" s="26" t="s">
        <v>155</v>
      </c>
      <c r="E42" s="63">
        <f>'Front Office'!E20+HSKP!E20+Reservation!E20+'ROOMS Admin'!E20</f>
        <v>0</v>
      </c>
      <c r="F42" s="63">
        <f>'Front Office'!F20+HSKP!F20+Reservation!F20+'ROOMS Admin'!F20</f>
        <v>0</v>
      </c>
      <c r="G42" s="63">
        <f>'Front Office'!G20+HSKP!G20+Reservation!G20+'ROOMS Admin'!G20</f>
        <v>0</v>
      </c>
      <c r="H42" s="63">
        <f>'Front Office'!H20+HSKP!H20+Reservation!H20+'ROOMS Admin'!H20</f>
        <v>0</v>
      </c>
      <c r="I42" s="63">
        <f>'Front Office'!I20+HSKP!I20+Reservation!I20+'ROOMS Admin'!I20</f>
        <v>0</v>
      </c>
      <c r="J42" s="63">
        <f>'Front Office'!J20+HSKP!J20+Reservation!J20+'ROOMS Admin'!J20</f>
        <v>0</v>
      </c>
      <c r="K42" s="63">
        <f>'Front Office'!K20+HSKP!K20+Reservation!K20+'ROOMS Admin'!K20</f>
        <v>0</v>
      </c>
      <c r="L42" s="63">
        <f>'Front Office'!L20+HSKP!L20+Reservation!L20+'ROOMS Admin'!L20</f>
        <v>0</v>
      </c>
      <c r="M42" s="63">
        <f>'Front Office'!M20+HSKP!M20+Reservation!M20+'ROOMS Admin'!M20</f>
        <v>0</v>
      </c>
      <c r="N42" s="63">
        <f>'Front Office'!N20+HSKP!N20+Reservation!N20+'ROOMS Admin'!N20</f>
        <v>0</v>
      </c>
      <c r="O42" s="63">
        <f>'Front Office'!O20+HSKP!O20+Reservation!O20+'ROOMS Admin'!O20</f>
        <v>0</v>
      </c>
      <c r="P42" s="63">
        <f>'Front Office'!P20+HSKP!P20+Reservation!P20+'ROOMS Admin'!P20</f>
        <v>0</v>
      </c>
      <c r="Q42" s="61">
        <f t="shared" si="10"/>
        <v>0</v>
      </c>
      <c r="R42" s="3">
        <f t="shared" si="9"/>
        <v>0</v>
      </c>
      <c r="S42" s="137">
        <f t="shared" si="11"/>
        <v>0</v>
      </c>
      <c r="T42" s="283">
        <v>0</v>
      </c>
      <c r="U42" s="40"/>
    </row>
    <row r="43" spans="1:21" s="3" customFormat="1" ht="25.4" customHeight="1">
      <c r="A43" s="3" t="s">
        <v>156</v>
      </c>
      <c r="B43" s="50" t="s">
        <v>138</v>
      </c>
      <c r="D43" s="26" t="s">
        <v>157</v>
      </c>
      <c r="E43" s="63">
        <f>'Front Office'!E21+HSKP!E21+Reservation!E21+'ROOMS Admin'!E21</f>
        <v>43905.660377358487</v>
      </c>
      <c r="F43" s="63">
        <f>'Front Office'!F21+HSKP!F21+Reservation!F21+'ROOMS Admin'!F21</f>
        <v>62007.547169811318</v>
      </c>
      <c r="G43" s="63">
        <f>'Front Office'!G21+HSKP!G21+Reservation!G21+'ROOMS Admin'!G21</f>
        <v>47609.433962264149</v>
      </c>
      <c r="H43" s="63">
        <f>'Front Office'!H21+HSKP!H21+Reservation!H21+'ROOMS Admin'!H21</f>
        <v>48664.150943396227</v>
      </c>
      <c r="I43" s="63">
        <f>'Front Office'!I21+HSKP!I21+Reservation!I21+'ROOMS Admin'!I21</f>
        <v>54771.698113207545</v>
      </c>
      <c r="J43" s="63">
        <f>'Front Office'!J21+HSKP!J21+Reservation!J21+'ROOMS Admin'!J21</f>
        <v>47584.905660377357</v>
      </c>
      <c r="K43" s="63">
        <f>'Front Office'!K21+HSKP!K21+Reservation!K21+'ROOMS Admin'!K21</f>
        <v>73633.962264150934</v>
      </c>
      <c r="L43" s="63">
        <f>'Front Office'!L21+HSKP!L21+Reservation!L21+'ROOMS Admin'!L21</f>
        <v>78466.037735849051</v>
      </c>
      <c r="M43" s="63">
        <f>'Front Office'!M21+HSKP!M21+Reservation!M21+'ROOMS Admin'!M21</f>
        <v>45009.433962264149</v>
      </c>
      <c r="N43" s="63">
        <f>'Front Office'!N21+HSKP!N21+Reservation!N21+'ROOMS Admin'!N21</f>
        <v>56439.622641509428</v>
      </c>
      <c r="O43" s="63">
        <f>'Front Office'!O21+HSKP!O21+Reservation!O21+'ROOMS Admin'!O21</f>
        <v>53815.094339622636</v>
      </c>
      <c r="P43" s="63">
        <f>'Front Office'!P21+HSKP!P21+Reservation!P21+'ROOMS Admin'!P21</f>
        <v>60879.245283018863</v>
      </c>
      <c r="Q43" s="61">
        <f t="shared" si="10"/>
        <v>672786.79245283024</v>
      </c>
      <c r="R43" s="3">
        <f t="shared" si="9"/>
        <v>24.528301886792455</v>
      </c>
      <c r="S43" s="137">
        <f t="shared" si="11"/>
        <v>1.5306352268007766E-2</v>
      </c>
      <c r="T43" s="283">
        <v>13.459187650360867</v>
      </c>
      <c r="U43" s="40"/>
    </row>
    <row r="44" spans="1:21" s="3" customFormat="1" ht="25.4" customHeight="1">
      <c r="A44" s="3" t="s">
        <v>158</v>
      </c>
      <c r="B44" s="50" t="s">
        <v>138</v>
      </c>
      <c r="D44" s="26" t="s">
        <v>1062</v>
      </c>
      <c r="E44" s="63">
        <f>'Front Office'!E22+HSKP!E22+Reservation!E22+'ROOMS Admin'!E22</f>
        <v>0</v>
      </c>
      <c r="F44" s="63">
        <f>'Front Office'!F22+HSKP!F22+Reservation!F22+'ROOMS Admin'!F22</f>
        <v>0</v>
      </c>
      <c r="G44" s="63">
        <f>'Front Office'!G22+HSKP!G22+Reservation!G22+'ROOMS Admin'!G22</f>
        <v>0</v>
      </c>
      <c r="H44" s="63">
        <f>'Front Office'!H22+HSKP!H22+Reservation!H22+'ROOMS Admin'!H22</f>
        <v>0</v>
      </c>
      <c r="I44" s="63">
        <f>'Front Office'!I22+HSKP!I22+Reservation!I22+'ROOMS Admin'!I22</f>
        <v>0</v>
      </c>
      <c r="J44" s="63">
        <f>'Front Office'!J22+HSKP!J22+Reservation!J22+'ROOMS Admin'!J22</f>
        <v>0</v>
      </c>
      <c r="K44" s="63">
        <f>'Front Office'!K22+HSKP!K22+Reservation!K22+'ROOMS Admin'!K22</f>
        <v>0</v>
      </c>
      <c r="L44" s="63">
        <f>'Front Office'!L22+HSKP!L22+Reservation!L22+'ROOMS Admin'!L22</f>
        <v>0</v>
      </c>
      <c r="M44" s="63">
        <f>'Front Office'!M22+HSKP!M22+Reservation!M22+'ROOMS Admin'!M22</f>
        <v>0</v>
      </c>
      <c r="N44" s="63">
        <f>'Front Office'!N22+HSKP!N22+Reservation!N22+'ROOMS Admin'!N22</f>
        <v>0</v>
      </c>
      <c r="O44" s="63">
        <f>'Front Office'!O22+HSKP!O22+Reservation!O22+'ROOMS Admin'!O22</f>
        <v>0</v>
      </c>
      <c r="P44" s="63">
        <f>'Front Office'!P22+HSKP!P22+Reservation!P22+'ROOMS Admin'!P22</f>
        <v>0</v>
      </c>
      <c r="Q44" s="61">
        <f t="shared" si="10"/>
        <v>0</v>
      </c>
      <c r="R44" s="3">
        <f t="shared" si="9"/>
        <v>0</v>
      </c>
      <c r="S44" s="137">
        <f t="shared" si="11"/>
        <v>0</v>
      </c>
      <c r="T44" s="61">
        <v>61.437752606255017</v>
      </c>
      <c r="U44" s="40"/>
    </row>
    <row r="45" spans="1:21" s="3" customFormat="1" ht="25.4" customHeight="1">
      <c r="A45" s="3" t="s">
        <v>160</v>
      </c>
      <c r="B45" s="50" t="s">
        <v>138</v>
      </c>
      <c r="D45" s="26" t="s">
        <v>161</v>
      </c>
      <c r="E45" s="63">
        <f>'Front Office'!E23+HSKP!E23+Reservation!E23+'ROOMS Admin'!E23</f>
        <v>60000</v>
      </c>
      <c r="F45" s="63">
        <f>'Front Office'!F23+HSKP!F23+Reservation!F23+'ROOMS Admin'!F23</f>
        <v>0</v>
      </c>
      <c r="G45" s="63">
        <f>'Front Office'!G23+HSKP!G23+Reservation!G23+'ROOMS Admin'!G23</f>
        <v>0</v>
      </c>
      <c r="H45" s="63">
        <f>'Front Office'!H23+HSKP!H23+Reservation!H23+'ROOMS Admin'!H23</f>
        <v>0</v>
      </c>
      <c r="I45" s="63">
        <f>'Front Office'!I23+HSKP!I23+Reservation!I23+'ROOMS Admin'!I23</f>
        <v>0</v>
      </c>
      <c r="J45" s="63">
        <f>'Front Office'!J23+HSKP!J23+Reservation!J23+'ROOMS Admin'!J23</f>
        <v>0</v>
      </c>
      <c r="K45" s="63">
        <f>'Front Office'!K23+HSKP!K23+Reservation!K23+'ROOMS Admin'!K23</f>
        <v>0</v>
      </c>
      <c r="L45" s="63">
        <f>'Front Office'!L23+HSKP!L23+Reservation!L23+'ROOMS Admin'!L23</f>
        <v>0</v>
      </c>
      <c r="M45" s="63">
        <f>'Front Office'!M23+HSKP!M23+Reservation!M23+'ROOMS Admin'!M23</f>
        <v>0</v>
      </c>
      <c r="N45" s="63">
        <f>'Front Office'!N23+HSKP!N23+Reservation!N23+'ROOMS Admin'!N23</f>
        <v>0</v>
      </c>
      <c r="O45" s="63">
        <f>'Front Office'!O23+HSKP!O23+Reservation!O23+'ROOMS Admin'!O23</f>
        <v>0</v>
      </c>
      <c r="P45" s="63">
        <f>'Front Office'!P23+HSKP!P23+Reservation!P23+'ROOMS Admin'!P23</f>
        <v>10000</v>
      </c>
      <c r="Q45" s="61">
        <f t="shared" si="10"/>
        <v>70000</v>
      </c>
      <c r="R45" s="3">
        <f t="shared" si="9"/>
        <v>2.5520434576543076</v>
      </c>
      <c r="S45" s="137">
        <f t="shared" si="11"/>
        <v>1.5925471052341796E-3</v>
      </c>
      <c r="T45" s="283">
        <v>-0.67407056936647958</v>
      </c>
      <c r="U45" s="108"/>
    </row>
    <row r="46" spans="1:21" s="3" customFormat="1" ht="25.4" customHeight="1">
      <c r="A46" s="3" t="s">
        <v>162</v>
      </c>
      <c r="B46" s="50" t="s">
        <v>138</v>
      </c>
      <c r="D46" s="26" t="s">
        <v>163</v>
      </c>
      <c r="E46" s="63">
        <f>'Front Office'!E24+HSKP!E24+Reservation!E24+'ROOMS Admin'!E24</f>
        <v>1688.3333333333333</v>
      </c>
      <c r="F46" s="63">
        <f>'Front Office'!F24+HSKP!F24+Reservation!F24+'ROOMS Admin'!F24</f>
        <v>1688.3333333333333</v>
      </c>
      <c r="G46" s="63">
        <f>'Front Office'!G24+HSKP!G24+Reservation!G24+'ROOMS Admin'!G24</f>
        <v>1688.3333333333333</v>
      </c>
      <c r="H46" s="63">
        <f>'Front Office'!H24+HSKP!H24+Reservation!H24+'ROOMS Admin'!H24</f>
        <v>1688.3333333333333</v>
      </c>
      <c r="I46" s="63">
        <f>'Front Office'!I24+HSKP!I24+Reservation!I24+'ROOMS Admin'!I24</f>
        <v>1688.3333333333333</v>
      </c>
      <c r="J46" s="63">
        <f>'Front Office'!J24+HSKP!J24+Reservation!J24+'ROOMS Admin'!J24</f>
        <v>1688.3333333333333</v>
      </c>
      <c r="K46" s="63">
        <f>'Front Office'!K24+HSKP!K24+Reservation!K24+'ROOMS Admin'!K24</f>
        <v>1688.3333333333333</v>
      </c>
      <c r="L46" s="63">
        <f>'Front Office'!L24+HSKP!L24+Reservation!L24+'ROOMS Admin'!L24</f>
        <v>1688.3333333333333</v>
      </c>
      <c r="M46" s="63">
        <f>'Front Office'!M24+HSKP!M24+Reservation!M24+'ROOMS Admin'!M24</f>
        <v>1688.3333333333333</v>
      </c>
      <c r="N46" s="63">
        <f>'Front Office'!N24+HSKP!N24+Reservation!N24+'ROOMS Admin'!N24</f>
        <v>1688.3333333333333</v>
      </c>
      <c r="O46" s="63">
        <f>'Front Office'!O24+HSKP!O24+Reservation!O24+'ROOMS Admin'!O24</f>
        <v>1688.3333333333333</v>
      </c>
      <c r="P46" s="63">
        <f>'Front Office'!P24+HSKP!P24+Reservation!P24+'ROOMS Admin'!P24</f>
        <v>1688.3333333333333</v>
      </c>
      <c r="Q46" s="61">
        <f t="shared" si="10"/>
        <v>20260</v>
      </c>
      <c r="R46" s="3">
        <f t="shared" si="9"/>
        <v>0.73863429217251819</v>
      </c>
      <c r="S46" s="137">
        <f t="shared" si="11"/>
        <v>4.6092863360063543E-4</v>
      </c>
      <c r="T46" s="283">
        <v>0.67974779470729751</v>
      </c>
      <c r="U46" s="108"/>
    </row>
    <row r="47" spans="1:21" s="3" customFormat="1" ht="25.4" customHeight="1">
      <c r="A47" s="3" t="s">
        <v>164</v>
      </c>
      <c r="B47" s="50" t="s">
        <v>138</v>
      </c>
      <c r="D47" s="26" t="s">
        <v>165</v>
      </c>
      <c r="E47" s="63">
        <f>'Front Office'!E25+HSKP!E25+Reservation!E25+'ROOMS Admin'!E25</f>
        <v>3600</v>
      </c>
      <c r="F47" s="63">
        <f>'Front Office'!F25+HSKP!F25+Reservation!F25+'ROOMS Admin'!F25</f>
        <v>4800</v>
      </c>
      <c r="G47" s="63">
        <f>'Front Office'!G25+HSKP!G25+Reservation!G25+'ROOMS Admin'!G25</f>
        <v>3600</v>
      </c>
      <c r="H47" s="63">
        <f>'Front Office'!H25+HSKP!H25+Reservation!H25+'ROOMS Admin'!H25</f>
        <v>3600</v>
      </c>
      <c r="I47" s="63">
        <f>'Front Office'!I25+HSKP!I25+Reservation!I25+'ROOMS Admin'!I25</f>
        <v>4800</v>
      </c>
      <c r="J47" s="63">
        <f>'Front Office'!J25+HSKP!J25+Reservation!J25+'ROOMS Admin'!J25</f>
        <v>3600</v>
      </c>
      <c r="K47" s="63">
        <f>'Front Office'!K25+HSKP!K25+Reservation!K25+'ROOMS Admin'!K25</f>
        <v>6000</v>
      </c>
      <c r="L47" s="63">
        <f>'Front Office'!L25+HSKP!L25+Reservation!L25+'ROOMS Admin'!L25</f>
        <v>6000</v>
      </c>
      <c r="M47" s="63">
        <f>'Front Office'!M25+HSKP!M25+Reservation!M25+'ROOMS Admin'!M25</f>
        <v>3000</v>
      </c>
      <c r="N47" s="63">
        <f>'Front Office'!N25+HSKP!N25+Reservation!N25+'ROOMS Admin'!N25</f>
        <v>4800</v>
      </c>
      <c r="O47" s="63">
        <f>'Front Office'!O25+HSKP!O25+Reservation!O25+'ROOMS Admin'!O25</f>
        <v>4000</v>
      </c>
      <c r="P47" s="63">
        <f>'Front Office'!P25+HSKP!P25+Reservation!P25+'ROOMS Admin'!P25</f>
        <v>4600</v>
      </c>
      <c r="Q47" s="61">
        <f t="shared" si="10"/>
        <v>52400</v>
      </c>
      <c r="R47" s="3">
        <f t="shared" si="9"/>
        <v>1.910386816872653</v>
      </c>
      <c r="S47" s="137">
        <f t="shared" si="11"/>
        <v>1.1921352616324431E-3</v>
      </c>
      <c r="T47" s="283">
        <v>0.13070449077786689</v>
      </c>
      <c r="U47" s="40"/>
    </row>
    <row r="48" spans="1:21" s="3" customFormat="1" ht="25.4" customHeight="1">
      <c r="A48" s="3" t="s">
        <v>166</v>
      </c>
      <c r="B48" s="50" t="s">
        <v>138</v>
      </c>
      <c r="D48" s="26" t="s">
        <v>167</v>
      </c>
      <c r="E48" s="63">
        <f>'Front Office'!E26+HSKP!E26+Reservation!E26+'ROOMS Admin'!E26</f>
        <v>0</v>
      </c>
      <c r="F48" s="63">
        <f>'Front Office'!F26+HSKP!F26+Reservation!F26+'ROOMS Admin'!F26</f>
        <v>0</v>
      </c>
      <c r="G48" s="63">
        <f>'Front Office'!G26+HSKP!G26+Reservation!G26+'ROOMS Admin'!G26</f>
        <v>0</v>
      </c>
      <c r="H48" s="63">
        <f>'Front Office'!H26+HSKP!H26+Reservation!H26+'ROOMS Admin'!H26</f>
        <v>0</v>
      </c>
      <c r="I48" s="63">
        <f>'Front Office'!I26+HSKP!I26+Reservation!I26+'ROOMS Admin'!I26</f>
        <v>0</v>
      </c>
      <c r="J48" s="63">
        <f>'Front Office'!J26+HSKP!J26+Reservation!J26+'ROOMS Admin'!J26</f>
        <v>0</v>
      </c>
      <c r="K48" s="63">
        <f>'Front Office'!K26+HSKP!K26+Reservation!K26+'ROOMS Admin'!K26</f>
        <v>0</v>
      </c>
      <c r="L48" s="63">
        <f>'Front Office'!L26+HSKP!L26+Reservation!L26+'ROOMS Admin'!L26</f>
        <v>0</v>
      </c>
      <c r="M48" s="63">
        <f>'Front Office'!M26+HSKP!M26+Reservation!M26+'ROOMS Admin'!M26</f>
        <v>0</v>
      </c>
      <c r="N48" s="63">
        <f>'Front Office'!N26+HSKP!N26+Reservation!N26+'ROOMS Admin'!N26</f>
        <v>0</v>
      </c>
      <c r="O48" s="63">
        <f>'Front Office'!O26+HSKP!O26+Reservation!O26+'ROOMS Admin'!O26</f>
        <v>0</v>
      </c>
      <c r="P48" s="63">
        <f>'Front Office'!P26+HSKP!P26+Reservation!P26+'ROOMS Admin'!P26</f>
        <v>0</v>
      </c>
      <c r="Q48" s="61">
        <f t="shared" si="10"/>
        <v>0</v>
      </c>
      <c r="R48" s="3">
        <f t="shared" si="9"/>
        <v>0</v>
      </c>
      <c r="S48" s="137">
        <f t="shared" si="11"/>
        <v>0</v>
      </c>
      <c r="T48" s="283">
        <v>0</v>
      </c>
      <c r="U48" s="40"/>
    </row>
    <row r="49" spans="1:21" s="3" customFormat="1" ht="25.4" customHeight="1">
      <c r="A49" s="3" t="s">
        <v>168</v>
      </c>
      <c r="B49" s="50" t="s">
        <v>138</v>
      </c>
      <c r="D49" s="26" t="s">
        <v>169</v>
      </c>
      <c r="E49" s="63">
        <f>'Front Office'!E27+HSKP!E27+Reservation!E27+'ROOMS Admin'!E27</f>
        <v>0</v>
      </c>
      <c r="F49" s="63">
        <f>'Front Office'!F27+HSKP!F27+Reservation!F27+'ROOMS Admin'!F27</f>
        <v>0</v>
      </c>
      <c r="G49" s="63">
        <f>'Front Office'!G27+HSKP!G27+Reservation!G27+'ROOMS Admin'!G27</f>
        <v>0</v>
      </c>
      <c r="H49" s="63">
        <f>'Front Office'!H27+HSKP!H27+Reservation!H27+'ROOMS Admin'!H27</f>
        <v>0</v>
      </c>
      <c r="I49" s="63">
        <f>'Front Office'!I27+HSKP!I27+Reservation!I27+'ROOMS Admin'!I27</f>
        <v>0</v>
      </c>
      <c r="J49" s="63">
        <f>'Front Office'!J27+HSKP!J27+Reservation!J27+'ROOMS Admin'!J27</f>
        <v>0</v>
      </c>
      <c r="K49" s="63">
        <f>'Front Office'!K27+HSKP!K27+Reservation!K27+'ROOMS Admin'!K27</f>
        <v>0</v>
      </c>
      <c r="L49" s="63">
        <f>'Front Office'!L27+HSKP!L27+Reservation!L27+'ROOMS Admin'!L27</f>
        <v>0</v>
      </c>
      <c r="M49" s="63">
        <f>'Front Office'!M27+HSKP!M27+Reservation!M27+'ROOMS Admin'!M27</f>
        <v>0</v>
      </c>
      <c r="N49" s="63">
        <f>'Front Office'!N27+HSKP!N27+Reservation!N27+'ROOMS Admin'!N27</f>
        <v>0</v>
      </c>
      <c r="O49" s="63">
        <f>'Front Office'!O27+HSKP!O27+Reservation!O27+'ROOMS Admin'!O27</f>
        <v>0</v>
      </c>
      <c r="P49" s="63">
        <f>'Front Office'!P27+HSKP!P27+Reservation!P27+'ROOMS Admin'!P27</f>
        <v>0</v>
      </c>
      <c r="Q49" s="61">
        <f t="shared" si="10"/>
        <v>0</v>
      </c>
      <c r="R49" s="3">
        <f t="shared" si="9"/>
        <v>0</v>
      </c>
      <c r="S49" s="137">
        <f t="shared" si="11"/>
        <v>0</v>
      </c>
      <c r="T49" s="283">
        <v>0</v>
      </c>
      <c r="U49" s="40"/>
    </row>
    <row r="50" spans="1:21" s="3" customFormat="1" ht="25.4" customHeight="1">
      <c r="A50" s="3" t="s">
        <v>170</v>
      </c>
      <c r="B50" s="50" t="s">
        <v>138</v>
      </c>
      <c r="D50" s="26" t="s">
        <v>171</v>
      </c>
      <c r="E50" s="63">
        <f>'Front Office'!E28+HSKP!E28+Reservation!E28+'ROOMS Admin'!E28</f>
        <v>135</v>
      </c>
      <c r="F50" s="63">
        <f>'Front Office'!F28+HSKP!F28+Reservation!F28+'ROOMS Admin'!F28</f>
        <v>135</v>
      </c>
      <c r="G50" s="63">
        <f>'Front Office'!G28+HSKP!G28+Reservation!G28+'ROOMS Admin'!G28</f>
        <v>135</v>
      </c>
      <c r="H50" s="63">
        <f>'Front Office'!H28+HSKP!H28+Reservation!H28+'ROOMS Admin'!H28</f>
        <v>135</v>
      </c>
      <c r="I50" s="63">
        <f>'Front Office'!I28+HSKP!I28+Reservation!I28+'ROOMS Admin'!I28</f>
        <v>135</v>
      </c>
      <c r="J50" s="63">
        <f>'Front Office'!J28+HSKP!J28+Reservation!J28+'ROOMS Admin'!J28</f>
        <v>135</v>
      </c>
      <c r="K50" s="63">
        <f>'Front Office'!K28+HSKP!K28+Reservation!K28+'ROOMS Admin'!K28</f>
        <v>135</v>
      </c>
      <c r="L50" s="63">
        <f>'Front Office'!L28+HSKP!L28+Reservation!L28+'ROOMS Admin'!L28</f>
        <v>135</v>
      </c>
      <c r="M50" s="63">
        <f>'Front Office'!M28+HSKP!M28+Reservation!M28+'ROOMS Admin'!M28</f>
        <v>135</v>
      </c>
      <c r="N50" s="63">
        <f>'Front Office'!N28+HSKP!N28+Reservation!N28+'ROOMS Admin'!N28</f>
        <v>135</v>
      </c>
      <c r="O50" s="63">
        <f>'Front Office'!O28+HSKP!O28+Reservation!O28+'ROOMS Admin'!O28</f>
        <v>135</v>
      </c>
      <c r="P50" s="63">
        <f>'Front Office'!P28+HSKP!P28+Reservation!P28+'ROOMS Admin'!P28</f>
        <v>135</v>
      </c>
      <c r="Q50" s="61">
        <f t="shared" si="10"/>
        <v>1620</v>
      </c>
      <c r="R50" s="3">
        <f t="shared" si="9"/>
        <v>5.9061577162856829E-2</v>
      </c>
      <c r="S50" s="137">
        <f t="shared" si="11"/>
        <v>3.6856090149705301E-5</v>
      </c>
      <c r="T50" s="283">
        <v>0</v>
      </c>
      <c r="U50" s="40"/>
    </row>
    <row r="51" spans="1:21" s="3" customFormat="1" ht="25.4" customHeight="1">
      <c r="A51" s="3" t="s">
        <v>172</v>
      </c>
      <c r="B51" s="50" t="s">
        <v>138</v>
      </c>
      <c r="D51" s="26" t="s">
        <v>173</v>
      </c>
      <c r="E51" s="63">
        <f>'Front Office'!E29+HSKP!E29+Reservation!E29+'ROOMS Admin'!E29</f>
        <v>56550</v>
      </c>
      <c r="F51" s="63">
        <f>'Front Office'!F29+HSKP!F29+Reservation!F29+'ROOMS Admin'!F29</f>
        <v>109676</v>
      </c>
      <c r="G51" s="63">
        <f>'Front Office'!G29+HSKP!G29+Reservation!G29+'ROOMS Admin'!G29</f>
        <v>119310</v>
      </c>
      <c r="H51" s="63">
        <f>'Front Office'!H29+HSKP!H29+Reservation!H29+'ROOMS Admin'!H29</f>
        <v>121890</v>
      </c>
      <c r="I51" s="63">
        <f>'Front Office'!I29+HSKP!I29+Reservation!I29+'ROOMS Admin'!I29</f>
        <v>136830</v>
      </c>
      <c r="J51" s="63">
        <f>'Front Office'!J29+HSKP!J29+Reservation!J29+'ROOMS Admin'!J29</f>
        <v>119250</v>
      </c>
      <c r="K51" s="63">
        <f>'Front Office'!K29+HSKP!K29+Reservation!K29+'ROOMS Admin'!K29</f>
        <v>184520</v>
      </c>
      <c r="L51" s="63">
        <f>'Front Office'!L29+HSKP!L29+Reservation!L29+'ROOMS Admin'!L29</f>
        <v>196540</v>
      </c>
      <c r="M51" s="63">
        <f>'Front Office'!M29+HSKP!M29+Reservation!M29+'ROOMS Admin'!M29</f>
        <v>112700</v>
      </c>
      <c r="N51" s="63">
        <f>'Front Office'!N29+HSKP!N29+Reservation!N29+'ROOMS Admin'!N29</f>
        <v>140910</v>
      </c>
      <c r="O51" s="63">
        <f>'Front Office'!O29+HSKP!O29+Reservation!O29+'ROOMS Admin'!O29</f>
        <v>134490</v>
      </c>
      <c r="P51" s="63">
        <f>'Front Office'!P29+HSKP!P29+Reservation!P29+'ROOMS Admin'!P29</f>
        <v>152020</v>
      </c>
      <c r="Q51" s="61">
        <f t="shared" si="10"/>
        <v>1584686</v>
      </c>
      <c r="R51" s="3">
        <f t="shared" si="9"/>
        <v>57.774107696233912</v>
      </c>
      <c r="S51" s="137">
        <f t="shared" si="11"/>
        <v>3.605267288578759E-2</v>
      </c>
      <c r="T51" s="283">
        <v>14.469396150761828</v>
      </c>
      <c r="U51" s="40"/>
    </row>
    <row r="52" spans="1:21" s="3" customFormat="1" ht="24.75" customHeight="1">
      <c r="A52" s="3" t="s">
        <v>174</v>
      </c>
      <c r="B52" s="50" t="s">
        <v>138</v>
      </c>
      <c r="D52" s="26" t="s">
        <v>175</v>
      </c>
      <c r="E52" s="63">
        <f>'Front Office'!E30+HSKP!E30+Reservation!E30+'ROOMS Admin'!E30</f>
        <v>16000</v>
      </c>
      <c r="F52" s="63">
        <f>'Front Office'!F30+HSKP!F30+Reservation!F30+'ROOMS Admin'!F30</f>
        <v>16000</v>
      </c>
      <c r="G52" s="63">
        <f>'Front Office'!G30+HSKP!G30+Reservation!G30+'ROOMS Admin'!G30</f>
        <v>16000</v>
      </c>
      <c r="H52" s="63">
        <f>'Front Office'!H30+HSKP!H30+Reservation!H30+'ROOMS Admin'!H30</f>
        <v>16000</v>
      </c>
      <c r="I52" s="63">
        <f>'Front Office'!I30+HSKP!I30+Reservation!I30+'ROOMS Admin'!I30</f>
        <v>16000</v>
      </c>
      <c r="J52" s="63">
        <f>'Front Office'!J30+HSKP!J30+Reservation!J30+'ROOMS Admin'!J30</f>
        <v>16000</v>
      </c>
      <c r="K52" s="63">
        <f>'Front Office'!K30+HSKP!K30+Reservation!K30+'ROOMS Admin'!K30</f>
        <v>16000</v>
      </c>
      <c r="L52" s="63">
        <f>'Front Office'!L30+HSKP!L30+Reservation!L30+'ROOMS Admin'!L30</f>
        <v>16000</v>
      </c>
      <c r="M52" s="63">
        <f>'Front Office'!M30+HSKP!M30+Reservation!M30+'ROOMS Admin'!M30</f>
        <v>16000</v>
      </c>
      <c r="N52" s="63">
        <f>'Front Office'!N30+HSKP!N30+Reservation!N30+'ROOMS Admin'!N30</f>
        <v>16000</v>
      </c>
      <c r="O52" s="63">
        <f>'Front Office'!O30+HSKP!O30+Reservation!O30+'ROOMS Admin'!O30</f>
        <v>16000</v>
      </c>
      <c r="P52" s="63">
        <f>'Front Office'!P30+HSKP!P30+Reservation!P30+'ROOMS Admin'!P30</f>
        <v>16000</v>
      </c>
      <c r="Q52" s="61">
        <f t="shared" si="10"/>
        <v>192000</v>
      </c>
      <c r="R52" s="3">
        <f t="shared" si="9"/>
        <v>6.9998906267089573</v>
      </c>
      <c r="S52" s="137">
        <f t="shared" si="11"/>
        <v>4.3681292029280356E-3</v>
      </c>
      <c r="T52" s="283">
        <v>3.849435846030473</v>
      </c>
      <c r="U52" s="40"/>
    </row>
    <row r="53" spans="1:21" s="3" customFormat="1" ht="25.4" customHeight="1">
      <c r="A53" s="3" t="s">
        <v>176</v>
      </c>
      <c r="B53" s="50" t="s">
        <v>138</v>
      </c>
      <c r="D53" s="26" t="s">
        <v>177</v>
      </c>
      <c r="E53" s="63">
        <f>'Front Office'!E31+HSKP!E31+Reservation!E31+'ROOMS Admin'!E31</f>
        <v>0</v>
      </c>
      <c r="F53" s="63">
        <f>'Front Office'!F31+HSKP!F31+Reservation!F31+'ROOMS Admin'!F31</f>
        <v>0</v>
      </c>
      <c r="G53" s="63">
        <f>'Front Office'!G31+HSKP!G31+Reservation!G31+'ROOMS Admin'!G31</f>
        <v>0</v>
      </c>
      <c r="H53" s="63">
        <f>'Front Office'!H31+HSKP!H31+Reservation!H31+'ROOMS Admin'!H31</f>
        <v>0</v>
      </c>
      <c r="I53" s="63">
        <f>'Front Office'!I31+HSKP!I31+Reservation!I31+'ROOMS Admin'!I31</f>
        <v>0</v>
      </c>
      <c r="J53" s="63">
        <f>'Front Office'!J31+HSKP!J31+Reservation!J31+'ROOMS Admin'!J31</f>
        <v>0</v>
      </c>
      <c r="K53" s="63">
        <f>'Front Office'!K31+HSKP!K31+Reservation!K31+'ROOMS Admin'!K31</f>
        <v>0</v>
      </c>
      <c r="L53" s="63">
        <f>'Front Office'!L31+HSKP!L31+Reservation!L31+'ROOMS Admin'!L31</f>
        <v>0</v>
      </c>
      <c r="M53" s="63">
        <f>'Front Office'!M31+HSKP!M31+Reservation!M31+'ROOMS Admin'!M31</f>
        <v>0</v>
      </c>
      <c r="N53" s="63">
        <f>'Front Office'!N31+HSKP!N31+Reservation!N31+'ROOMS Admin'!N31</f>
        <v>0</v>
      </c>
      <c r="O53" s="63">
        <f>'Front Office'!O31+HSKP!O31+Reservation!O31+'ROOMS Admin'!O31</f>
        <v>0</v>
      </c>
      <c r="P53" s="63">
        <f>'Front Office'!P31+HSKP!P31+Reservation!P31+'ROOMS Admin'!P31</f>
        <v>0</v>
      </c>
      <c r="Q53" s="61">
        <f t="shared" si="10"/>
        <v>0</v>
      </c>
      <c r="R53" s="3">
        <f t="shared" si="9"/>
        <v>0</v>
      </c>
      <c r="S53" s="137">
        <f t="shared" si="11"/>
        <v>0</v>
      </c>
      <c r="T53" s="283">
        <v>0</v>
      </c>
      <c r="U53" s="40"/>
    </row>
    <row r="54" spans="1:21" s="3" customFormat="1" ht="25.4" customHeight="1">
      <c r="A54" s="3" t="s">
        <v>178</v>
      </c>
      <c r="B54" s="50" t="s">
        <v>138</v>
      </c>
      <c r="D54" s="26" t="s">
        <v>179</v>
      </c>
      <c r="E54" s="63">
        <f>'Front Office'!E32+HSKP!E32+Reservation!E32+'ROOMS Admin'!E32</f>
        <v>16037.735849056602</v>
      </c>
      <c r="F54" s="63">
        <f>'Front Office'!F32+HSKP!F32+Reservation!F32+'ROOMS Admin'!F32</f>
        <v>16037.735849056602</v>
      </c>
      <c r="G54" s="63">
        <f>'Front Office'!G32+HSKP!G32+Reservation!G32+'ROOMS Admin'!G32</f>
        <v>16037.735849056602</v>
      </c>
      <c r="H54" s="63">
        <f>'Front Office'!H32+HSKP!H32+Reservation!H32+'ROOMS Admin'!H32</f>
        <v>16037.735849056602</v>
      </c>
      <c r="I54" s="63">
        <f>'Front Office'!I32+HSKP!I32+Reservation!I32+'ROOMS Admin'!I32</f>
        <v>16037.735849056602</v>
      </c>
      <c r="J54" s="63">
        <f>'Front Office'!J32+HSKP!J32+Reservation!J32+'ROOMS Admin'!J32</f>
        <v>16037.735849056602</v>
      </c>
      <c r="K54" s="63">
        <f>'Front Office'!K32+HSKP!K32+Reservation!K32+'ROOMS Admin'!K32</f>
        <v>16037.735849056602</v>
      </c>
      <c r="L54" s="63">
        <f>'Front Office'!L32+HSKP!L32+Reservation!L32+'ROOMS Admin'!L32</f>
        <v>16037.735849056602</v>
      </c>
      <c r="M54" s="63">
        <f>'Front Office'!M32+HSKP!M32+Reservation!M32+'ROOMS Admin'!M32</f>
        <v>16037.735849056602</v>
      </c>
      <c r="N54" s="63">
        <f>'Front Office'!N32+HSKP!N32+Reservation!N32+'ROOMS Admin'!N32</f>
        <v>16037.735849056602</v>
      </c>
      <c r="O54" s="63">
        <f>'Front Office'!O32+HSKP!O32+Reservation!O32+'ROOMS Admin'!O32</f>
        <v>16037.735849056602</v>
      </c>
      <c r="P54" s="63">
        <f>'Front Office'!P32+HSKP!P32+Reservation!P32+'ROOMS Admin'!P32</f>
        <v>16037.735849056602</v>
      </c>
      <c r="Q54" s="61">
        <f t="shared" si="10"/>
        <v>192452.83018867919</v>
      </c>
      <c r="R54" s="3">
        <f t="shared" si="9"/>
        <v>7.0163998027153447</v>
      </c>
      <c r="S54" s="137">
        <f t="shared" si="11"/>
        <v>4.3784313944443742E-3</v>
      </c>
      <c r="T54" s="283">
        <v>0.89747393744987969</v>
      </c>
      <c r="U54" s="40"/>
    </row>
    <row r="55" spans="1:21" s="3" customFormat="1" ht="25.4" customHeight="1">
      <c r="A55" s="3" t="s">
        <v>180</v>
      </c>
      <c r="B55" s="50" t="s">
        <v>138</v>
      </c>
      <c r="D55" s="26" t="s">
        <v>181</v>
      </c>
      <c r="E55" s="63">
        <f>'Front Office'!E33+HSKP!E33+Reservation!E33+'ROOMS Admin'!E33</f>
        <v>0</v>
      </c>
      <c r="F55" s="63">
        <f>'Front Office'!F33+HSKP!F33+Reservation!F33+'ROOMS Admin'!F33</f>
        <v>0</v>
      </c>
      <c r="G55" s="63">
        <f>'Front Office'!G33+HSKP!G33+Reservation!G33+'ROOMS Admin'!G33</f>
        <v>0</v>
      </c>
      <c r="H55" s="63">
        <f>'Front Office'!H33+HSKP!H33+Reservation!H33+'ROOMS Admin'!H33</f>
        <v>0</v>
      </c>
      <c r="I55" s="63">
        <f>'Front Office'!I33+HSKP!I33+Reservation!I33+'ROOMS Admin'!I33</f>
        <v>0</v>
      </c>
      <c r="J55" s="63">
        <f>'Front Office'!J33+HSKP!J33+Reservation!J33+'ROOMS Admin'!J33</f>
        <v>0</v>
      </c>
      <c r="K55" s="63">
        <f>'Front Office'!K33+HSKP!K33+Reservation!K33+'ROOMS Admin'!K33</f>
        <v>0</v>
      </c>
      <c r="L55" s="63">
        <f>'Front Office'!L33+HSKP!L33+Reservation!L33+'ROOMS Admin'!L33</f>
        <v>0</v>
      </c>
      <c r="M55" s="63">
        <f>'Front Office'!M33+HSKP!M33+Reservation!M33+'ROOMS Admin'!M33</f>
        <v>0</v>
      </c>
      <c r="N55" s="63">
        <f>'Front Office'!N33+HSKP!N33+Reservation!N33+'ROOMS Admin'!N33</f>
        <v>0</v>
      </c>
      <c r="O55" s="63">
        <f>'Front Office'!O33+HSKP!O33+Reservation!O33+'ROOMS Admin'!O33</f>
        <v>0</v>
      </c>
      <c r="P55" s="63">
        <f>'Front Office'!P33+HSKP!P33+Reservation!P33+'ROOMS Admin'!P33</f>
        <v>0</v>
      </c>
      <c r="Q55" s="61">
        <f t="shared" si="10"/>
        <v>0</v>
      </c>
      <c r="R55" s="3">
        <f t="shared" si="9"/>
        <v>0</v>
      </c>
      <c r="S55" s="137">
        <f t="shared" si="11"/>
        <v>0</v>
      </c>
      <c r="T55" s="283">
        <v>0</v>
      </c>
      <c r="U55" s="40"/>
    </row>
    <row r="56" spans="1:21" s="3" customFormat="1" ht="24.75" customHeight="1">
      <c r="A56" s="3" t="s">
        <v>182</v>
      </c>
      <c r="B56" s="50" t="s">
        <v>138</v>
      </c>
      <c r="D56" s="26" t="s">
        <v>183</v>
      </c>
      <c r="E56" s="63">
        <f>'Front Office'!E34+HSKP!E34+Reservation!E34+'ROOMS Admin'!E34</f>
        <v>8950</v>
      </c>
      <c r="F56" s="63">
        <f>'Front Office'!F34+HSKP!F34+Reservation!F34+'ROOMS Admin'!F34</f>
        <v>11600</v>
      </c>
      <c r="G56" s="63">
        <f>'Front Office'!G34+HSKP!G34+Reservation!G34+'ROOMS Admin'!G34</f>
        <v>10446</v>
      </c>
      <c r="H56" s="63">
        <f>'Front Office'!H34+HSKP!H34+Reservation!H34+'ROOMS Admin'!H34</f>
        <v>10968</v>
      </c>
      <c r="I56" s="63">
        <f>'Front Office'!I34+HSKP!I34+Reservation!I34+'ROOMS Admin'!I34</f>
        <v>11808</v>
      </c>
      <c r="J56" s="63">
        <f>'Front Office'!J34+HSKP!J34+Reservation!J34+'ROOMS Admin'!J34</f>
        <v>11052</v>
      </c>
      <c r="K56" s="63">
        <f>'Front Office'!K34+HSKP!K34+Reservation!K34+'ROOMS Admin'!K34</f>
        <v>14165</v>
      </c>
      <c r="L56" s="63">
        <f>'Front Office'!L34+HSKP!L34+Reservation!L34+'ROOMS Admin'!L34</f>
        <v>15190</v>
      </c>
      <c r="M56" s="63">
        <f>'Front Office'!M34+HSKP!M34+Reservation!M34+'ROOMS Admin'!M34</f>
        <v>9336</v>
      </c>
      <c r="N56" s="63">
        <f>'Front Office'!N34+HSKP!N34+Reservation!N34+'ROOMS Admin'!N34</f>
        <v>11916</v>
      </c>
      <c r="O56" s="63">
        <f>'Front Office'!O34+HSKP!O34+Reservation!O34+'ROOMS Admin'!O34</f>
        <v>10170</v>
      </c>
      <c r="P56" s="63">
        <f>'Front Office'!P34+HSKP!P34+Reservation!P34+'ROOMS Admin'!P34</f>
        <v>11705</v>
      </c>
      <c r="Q56" s="61">
        <f t="shared" si="10"/>
        <v>137306</v>
      </c>
      <c r="R56" s="3">
        <f t="shared" si="9"/>
        <v>5.0058696999526049</v>
      </c>
      <c r="S56" s="137">
        <f t="shared" si="11"/>
        <v>3.1238038975897752E-3</v>
      </c>
      <c r="T56" s="283">
        <v>1.5285797914995989</v>
      </c>
      <c r="U56" s="40"/>
    </row>
    <row r="57" spans="1:21" s="3" customFormat="1" ht="25.4" customHeight="1">
      <c r="A57" s="3" t="s">
        <v>184</v>
      </c>
      <c r="B57" s="50" t="s">
        <v>138</v>
      </c>
      <c r="D57" s="26" t="s">
        <v>185</v>
      </c>
      <c r="E57" s="63">
        <f>'Front Office'!E35+HSKP!E35+Reservation!E35+'ROOMS Admin'!E35</f>
        <v>0</v>
      </c>
      <c r="F57" s="63">
        <f>'Front Office'!F35+HSKP!F35+Reservation!F35+'ROOMS Admin'!F35</f>
        <v>0</v>
      </c>
      <c r="G57" s="63">
        <f>'Front Office'!G35+HSKP!G35+Reservation!G35+'ROOMS Admin'!G35</f>
        <v>0</v>
      </c>
      <c r="H57" s="63">
        <f>'Front Office'!H35+HSKP!H35+Reservation!H35+'ROOMS Admin'!H35</f>
        <v>0</v>
      </c>
      <c r="I57" s="63">
        <f>'Front Office'!I35+HSKP!I35+Reservation!I35+'ROOMS Admin'!I35</f>
        <v>0</v>
      </c>
      <c r="J57" s="63">
        <f>'Front Office'!J35+HSKP!J35+Reservation!J35+'ROOMS Admin'!J35</f>
        <v>0</v>
      </c>
      <c r="K57" s="63">
        <f>'Front Office'!K35+HSKP!K35+Reservation!K35+'ROOMS Admin'!K35</f>
        <v>0</v>
      </c>
      <c r="L57" s="63">
        <f>'Front Office'!L35+HSKP!L35+Reservation!L35+'ROOMS Admin'!L35</f>
        <v>0</v>
      </c>
      <c r="M57" s="63">
        <f>'Front Office'!M35+HSKP!M35+Reservation!M35+'ROOMS Admin'!M35</f>
        <v>0</v>
      </c>
      <c r="N57" s="63">
        <f>'Front Office'!N35+HSKP!N35+Reservation!N35+'ROOMS Admin'!N35</f>
        <v>0</v>
      </c>
      <c r="O57" s="63">
        <f>'Front Office'!O35+HSKP!O35+Reservation!O35+'ROOMS Admin'!O35</f>
        <v>0</v>
      </c>
      <c r="P57" s="63">
        <f>'Front Office'!P35+HSKP!P35+Reservation!P35+'ROOMS Admin'!P35</f>
        <v>0</v>
      </c>
      <c r="Q57" s="61">
        <f t="shared" si="10"/>
        <v>0</v>
      </c>
      <c r="R57" s="3">
        <f t="shared" si="9"/>
        <v>0</v>
      </c>
      <c r="S57" s="137">
        <f t="shared" si="11"/>
        <v>0</v>
      </c>
      <c r="T57" s="283">
        <v>0</v>
      </c>
      <c r="U57" s="40"/>
    </row>
    <row r="58" spans="1:21" s="3" customFormat="1" ht="25.4" customHeight="1">
      <c r="A58" s="3" t="s">
        <v>186</v>
      </c>
      <c r="B58" s="50" t="s">
        <v>138</v>
      </c>
      <c r="D58" s="26" t="s">
        <v>187</v>
      </c>
      <c r="E58" s="63">
        <f>'Front Office'!E36+HSKP!E36+Reservation!E36+'ROOMS Admin'!E36</f>
        <v>0</v>
      </c>
      <c r="F58" s="63">
        <f>'Front Office'!F36+HSKP!F36+Reservation!F36+'ROOMS Admin'!F36</f>
        <v>0</v>
      </c>
      <c r="G58" s="63">
        <f>'Front Office'!G36+HSKP!G36+Reservation!G36+'ROOMS Admin'!G36</f>
        <v>0</v>
      </c>
      <c r="H58" s="63">
        <f>'Front Office'!H36+HSKP!H36+Reservation!H36+'ROOMS Admin'!H36</f>
        <v>0</v>
      </c>
      <c r="I58" s="63">
        <f>'Front Office'!I36+HSKP!I36+Reservation!I36+'ROOMS Admin'!I36</f>
        <v>0</v>
      </c>
      <c r="J58" s="63">
        <f>'Front Office'!J36+HSKP!J36+Reservation!J36+'ROOMS Admin'!J36</f>
        <v>0</v>
      </c>
      <c r="K58" s="63">
        <f>'Front Office'!K36+HSKP!K36+Reservation!K36+'ROOMS Admin'!K36</f>
        <v>0</v>
      </c>
      <c r="L58" s="63">
        <f>'Front Office'!L36+HSKP!L36+Reservation!L36+'ROOMS Admin'!L36</f>
        <v>0</v>
      </c>
      <c r="M58" s="63">
        <f>'Front Office'!M36+HSKP!M36+Reservation!M36+'ROOMS Admin'!M36</f>
        <v>0</v>
      </c>
      <c r="N58" s="63">
        <f>'Front Office'!N36+HSKP!N36+Reservation!N36+'ROOMS Admin'!N36</f>
        <v>0</v>
      </c>
      <c r="O58" s="63">
        <f>'Front Office'!O36+HSKP!O36+Reservation!O36+'ROOMS Admin'!O36</f>
        <v>0</v>
      </c>
      <c r="P58" s="63">
        <f>'Front Office'!P36+HSKP!P36+Reservation!P36+'ROOMS Admin'!P36</f>
        <v>0</v>
      </c>
      <c r="Q58" s="61">
        <f t="shared" si="10"/>
        <v>0</v>
      </c>
      <c r="R58" s="3">
        <f t="shared" si="9"/>
        <v>0</v>
      </c>
      <c r="S58" s="137">
        <f t="shared" si="11"/>
        <v>0</v>
      </c>
      <c r="T58" s="283">
        <v>0</v>
      </c>
      <c r="U58" s="40"/>
    </row>
    <row r="59" spans="1:21" s="3" customFormat="1" ht="25.4" customHeight="1">
      <c r="A59" s="3" t="s">
        <v>188</v>
      </c>
      <c r="B59" s="50" t="s">
        <v>138</v>
      </c>
      <c r="D59" s="26" t="s">
        <v>189</v>
      </c>
      <c r="E59" s="63">
        <f>'Front Office'!E37+HSKP!E37+Reservation!E37+'ROOMS Admin'!E37</f>
        <v>0</v>
      </c>
      <c r="F59" s="63">
        <f>'Front Office'!F37+HSKP!F37+Reservation!F37+'ROOMS Admin'!F37</f>
        <v>0</v>
      </c>
      <c r="G59" s="63">
        <f>'Front Office'!G37+HSKP!G37+Reservation!G37+'ROOMS Admin'!G37</f>
        <v>0</v>
      </c>
      <c r="H59" s="63">
        <f>'Front Office'!H37+HSKP!H37+Reservation!H37+'ROOMS Admin'!H37</f>
        <v>0</v>
      </c>
      <c r="I59" s="63">
        <f>'Front Office'!I37+HSKP!I37+Reservation!I37+'ROOMS Admin'!I37</f>
        <v>0</v>
      </c>
      <c r="J59" s="63">
        <f>'Front Office'!J37+HSKP!J37+Reservation!J37+'ROOMS Admin'!J37</f>
        <v>0</v>
      </c>
      <c r="K59" s="63">
        <f>'Front Office'!K37+HSKP!K37+Reservation!K37+'ROOMS Admin'!K37</f>
        <v>0</v>
      </c>
      <c r="L59" s="63">
        <f>'Front Office'!L37+HSKP!L37+Reservation!L37+'ROOMS Admin'!L37</f>
        <v>0</v>
      </c>
      <c r="M59" s="63">
        <f>'Front Office'!M37+HSKP!M37+Reservation!M37+'ROOMS Admin'!M37</f>
        <v>0</v>
      </c>
      <c r="N59" s="63">
        <f>'Front Office'!N37+HSKP!N37+Reservation!N37+'ROOMS Admin'!N37</f>
        <v>0</v>
      </c>
      <c r="O59" s="63">
        <f>'Front Office'!O37+HSKP!O37+Reservation!O37+'ROOMS Admin'!O37</f>
        <v>0</v>
      </c>
      <c r="P59" s="63">
        <f>'Front Office'!P37+HSKP!P37+Reservation!P37+'ROOMS Admin'!P37</f>
        <v>0</v>
      </c>
      <c r="Q59" s="61">
        <f t="shared" si="10"/>
        <v>0</v>
      </c>
      <c r="R59" s="3">
        <f t="shared" si="9"/>
        <v>0</v>
      </c>
      <c r="S59" s="137">
        <f t="shared" si="11"/>
        <v>0</v>
      </c>
      <c r="T59" s="283">
        <v>1.3662389735364875E-2</v>
      </c>
      <c r="U59" s="40"/>
    </row>
    <row r="60" spans="1:21" s="3" customFormat="1" ht="25.4" customHeight="1">
      <c r="A60" s="3" t="s">
        <v>190</v>
      </c>
      <c r="B60" s="50" t="s">
        <v>138</v>
      </c>
      <c r="D60" s="26" t="s">
        <v>191</v>
      </c>
      <c r="E60" s="63">
        <f>'Front Office'!E38+HSKP!E38+Reservation!E38+'ROOMS Admin'!E38</f>
        <v>0</v>
      </c>
      <c r="F60" s="63">
        <f>'Front Office'!F38+HSKP!F38+Reservation!F38+'ROOMS Admin'!F38</f>
        <v>0</v>
      </c>
      <c r="G60" s="63">
        <f>'Front Office'!G38+HSKP!G38+Reservation!G38+'ROOMS Admin'!G38</f>
        <v>0</v>
      </c>
      <c r="H60" s="63">
        <f>'Front Office'!H38+HSKP!H38+Reservation!H38+'ROOMS Admin'!H38</f>
        <v>0</v>
      </c>
      <c r="I60" s="63">
        <f>'Front Office'!I38+HSKP!I38+Reservation!I38+'ROOMS Admin'!I38</f>
        <v>0</v>
      </c>
      <c r="J60" s="63">
        <f>'Front Office'!J38+HSKP!J38+Reservation!J38+'ROOMS Admin'!J38</f>
        <v>0</v>
      </c>
      <c r="K60" s="63">
        <f>'Front Office'!K38+HSKP!K38+Reservation!K38+'ROOMS Admin'!K38</f>
        <v>0</v>
      </c>
      <c r="L60" s="63">
        <f>'Front Office'!L38+HSKP!L38+Reservation!L38+'ROOMS Admin'!L38</f>
        <v>0</v>
      </c>
      <c r="M60" s="63">
        <f>'Front Office'!M38+HSKP!M38+Reservation!M38+'ROOMS Admin'!M38</f>
        <v>0</v>
      </c>
      <c r="N60" s="63">
        <f>'Front Office'!N38+HSKP!N38+Reservation!N38+'ROOMS Admin'!N38</f>
        <v>0</v>
      </c>
      <c r="O60" s="63">
        <f>'Front Office'!O38+HSKP!O38+Reservation!O38+'ROOMS Admin'!O38</f>
        <v>0</v>
      </c>
      <c r="P60" s="63">
        <f>'Front Office'!P38+HSKP!P38+Reservation!P38+'ROOMS Admin'!P38</f>
        <v>0</v>
      </c>
      <c r="Q60" s="61">
        <f t="shared" si="10"/>
        <v>0</v>
      </c>
      <c r="R60" s="3">
        <f t="shared" si="9"/>
        <v>0</v>
      </c>
      <c r="S60" s="137">
        <f t="shared" si="11"/>
        <v>0</v>
      </c>
      <c r="T60" s="283">
        <v>0</v>
      </c>
      <c r="U60" s="40"/>
    </row>
    <row r="61" spans="1:21" s="3" customFormat="1" ht="25.4" customHeight="1">
      <c r="A61" s="3" t="s">
        <v>192</v>
      </c>
      <c r="B61" s="50" t="s">
        <v>138</v>
      </c>
      <c r="D61" s="26" t="s">
        <v>193</v>
      </c>
      <c r="E61" s="63">
        <f>'Front Office'!E39+HSKP!E39+Reservation!E39+'ROOMS Admin'!E39</f>
        <v>2500</v>
      </c>
      <c r="F61" s="63">
        <f>'Front Office'!F39+HSKP!F39+Reservation!F39+'ROOMS Admin'!F39</f>
        <v>2500</v>
      </c>
      <c r="G61" s="63">
        <f>'Front Office'!G39+HSKP!G39+Reservation!G39+'ROOMS Admin'!G39</f>
        <v>2500</v>
      </c>
      <c r="H61" s="63">
        <f>'Front Office'!H39+HSKP!H39+Reservation!H39+'ROOMS Admin'!H39</f>
        <v>2500</v>
      </c>
      <c r="I61" s="63">
        <f>'Front Office'!I39+HSKP!I39+Reservation!I39+'ROOMS Admin'!I39</f>
        <v>2500</v>
      </c>
      <c r="J61" s="63">
        <f>'Front Office'!J39+HSKP!J39+Reservation!J39+'ROOMS Admin'!J39</f>
        <v>2500</v>
      </c>
      <c r="K61" s="63">
        <f>'Front Office'!K39+HSKP!K39+Reservation!K39+'ROOMS Admin'!K39</f>
        <v>2500</v>
      </c>
      <c r="L61" s="63">
        <f>'Front Office'!L39+HSKP!L39+Reservation!L39+'ROOMS Admin'!L39</f>
        <v>2500</v>
      </c>
      <c r="M61" s="63">
        <f>'Front Office'!M39+HSKP!M39+Reservation!M39+'ROOMS Admin'!M39</f>
        <v>2500</v>
      </c>
      <c r="N61" s="63">
        <f>'Front Office'!N39+HSKP!N39+Reservation!N39+'ROOMS Admin'!N39</f>
        <v>12100</v>
      </c>
      <c r="O61" s="63">
        <f>'Front Office'!O39+HSKP!O39+Reservation!O39+'ROOMS Admin'!O39</f>
        <v>12100</v>
      </c>
      <c r="P61" s="63">
        <f>'Front Office'!P39+HSKP!P39+Reservation!P39+'ROOMS Admin'!P39</f>
        <v>12100</v>
      </c>
      <c r="Q61" s="61">
        <f t="shared" si="10"/>
        <v>58800</v>
      </c>
      <c r="R61" s="3">
        <f t="shared" si="9"/>
        <v>2.1437165044296185</v>
      </c>
      <c r="S61" s="137">
        <f t="shared" si="11"/>
        <v>1.3377395683967109E-3</v>
      </c>
      <c r="T61" s="283">
        <v>0.98241058540497195</v>
      </c>
      <c r="U61" s="40"/>
    </row>
    <row r="62" spans="1:21" s="3" customFormat="1" ht="25.4" customHeight="1">
      <c r="A62" s="3" t="s">
        <v>194</v>
      </c>
      <c r="B62" s="50" t="s">
        <v>138</v>
      </c>
      <c r="D62" s="26" t="s">
        <v>195</v>
      </c>
      <c r="E62" s="63">
        <f>'Front Office'!E40+HSKP!E40+Reservation!E40+'ROOMS Admin'!E40</f>
        <v>0</v>
      </c>
      <c r="F62" s="63">
        <f>'Front Office'!F40+HSKP!F40+Reservation!F40+'ROOMS Admin'!F40</f>
        <v>0</v>
      </c>
      <c r="G62" s="63">
        <f>'Front Office'!G40+HSKP!G40+Reservation!G40+'ROOMS Admin'!G40</f>
        <v>0</v>
      </c>
      <c r="H62" s="63">
        <f>'Front Office'!H40+HSKP!H40+Reservation!H40+'ROOMS Admin'!H40</f>
        <v>0</v>
      </c>
      <c r="I62" s="63">
        <f>'Front Office'!I40+HSKP!I40+Reservation!I40+'ROOMS Admin'!I40</f>
        <v>0</v>
      </c>
      <c r="J62" s="63">
        <f>'Front Office'!J40+HSKP!J40+Reservation!J40+'ROOMS Admin'!J40</f>
        <v>0</v>
      </c>
      <c r="K62" s="63">
        <f>'Front Office'!K40+HSKP!K40+Reservation!K40+'ROOMS Admin'!K40</f>
        <v>2000</v>
      </c>
      <c r="L62" s="63">
        <f>'Front Office'!L40+HSKP!L40+Reservation!L40+'ROOMS Admin'!L40</f>
        <v>0</v>
      </c>
      <c r="M62" s="63">
        <f>'Front Office'!M40+HSKP!M40+Reservation!M40+'ROOMS Admin'!M40</f>
        <v>0</v>
      </c>
      <c r="N62" s="63">
        <f>'Front Office'!N40+HSKP!N40+Reservation!N40+'ROOMS Admin'!N40</f>
        <v>0</v>
      </c>
      <c r="O62" s="63">
        <f>'Front Office'!O40+HSKP!O40+Reservation!O40+'ROOMS Admin'!O40</f>
        <v>0</v>
      </c>
      <c r="P62" s="63">
        <f>'Front Office'!P40+HSKP!P40+Reservation!P40+'ROOMS Admin'!P40</f>
        <v>0</v>
      </c>
      <c r="Q62" s="61">
        <f t="shared" si="10"/>
        <v>2000</v>
      </c>
      <c r="R62" s="3">
        <f t="shared" si="9"/>
        <v>7.2915527361551644E-2</v>
      </c>
      <c r="S62" s="137">
        <f t="shared" si="11"/>
        <v>4.5501345863833704E-5</v>
      </c>
      <c r="T62" s="283">
        <v>0</v>
      </c>
      <c r="U62" s="40"/>
    </row>
    <row r="63" spans="1:21" s="3" customFormat="1" ht="25.4" customHeight="1">
      <c r="A63" s="3" t="s">
        <v>196</v>
      </c>
      <c r="B63" s="50" t="s">
        <v>138</v>
      </c>
      <c r="D63" s="26" t="s">
        <v>197</v>
      </c>
      <c r="E63" s="63">
        <f>'Front Office'!E41+HSKP!E41+Reservation!E41+'ROOMS Admin'!E41</f>
        <v>1100</v>
      </c>
      <c r="F63" s="63">
        <f>'Front Office'!F41+HSKP!F41+Reservation!F41+'ROOMS Admin'!F41</f>
        <v>1150</v>
      </c>
      <c r="G63" s="63">
        <f>'Front Office'!G41+HSKP!G41+Reservation!G41+'ROOMS Admin'!G41</f>
        <v>1100</v>
      </c>
      <c r="H63" s="63">
        <f>'Front Office'!H41+HSKP!H41+Reservation!H41+'ROOMS Admin'!H41</f>
        <v>1100</v>
      </c>
      <c r="I63" s="63">
        <f>'Front Office'!I41+HSKP!I41+Reservation!I41+'ROOMS Admin'!I41</f>
        <v>1100</v>
      </c>
      <c r="J63" s="63">
        <f>'Front Office'!J41+HSKP!J41+Reservation!J41+'ROOMS Admin'!J41</f>
        <v>1100</v>
      </c>
      <c r="K63" s="63">
        <f>'Front Office'!K41+HSKP!K41+Reservation!K41+'ROOMS Admin'!K41</f>
        <v>1150</v>
      </c>
      <c r="L63" s="63">
        <f>'Front Office'!L41+HSKP!L41+Reservation!L41+'ROOMS Admin'!L41</f>
        <v>1150</v>
      </c>
      <c r="M63" s="63">
        <f>'Front Office'!M41+HSKP!M41+Reservation!M41+'ROOMS Admin'!M41</f>
        <v>1100</v>
      </c>
      <c r="N63" s="63">
        <f>'Front Office'!N41+HSKP!N41+Reservation!N41+'ROOMS Admin'!N41</f>
        <v>1150</v>
      </c>
      <c r="O63" s="63">
        <f>'Front Office'!O41+HSKP!O41+Reservation!O41+'ROOMS Admin'!O41</f>
        <v>1100</v>
      </c>
      <c r="P63" s="63">
        <f>'Front Office'!P41+HSKP!P41+Reservation!P41+'ROOMS Admin'!P41</f>
        <v>1100</v>
      </c>
      <c r="Q63" s="61">
        <f t="shared" si="10"/>
        <v>13400</v>
      </c>
      <c r="R63" s="3">
        <f t="shared" si="9"/>
        <v>0.48853403332239598</v>
      </c>
      <c r="S63" s="137">
        <f t="shared" si="11"/>
        <v>3.0485901728768581E-4</v>
      </c>
      <c r="T63" s="283">
        <v>0</v>
      </c>
      <c r="U63" s="40"/>
    </row>
    <row r="64" spans="1:21" s="3" customFormat="1" ht="25.4" customHeight="1">
      <c r="A64" s="3" t="s">
        <v>198</v>
      </c>
      <c r="B64" s="50" t="s">
        <v>138</v>
      </c>
      <c r="D64" s="26" t="s">
        <v>199</v>
      </c>
      <c r="E64" s="63">
        <f>'Front Office'!E42+HSKP!E42+Reservation!E42+'ROOMS Admin'!E42</f>
        <v>600</v>
      </c>
      <c r="F64" s="63">
        <f>'Front Office'!F42+HSKP!F42+Reservation!F42+'ROOMS Admin'!F42</f>
        <v>612</v>
      </c>
      <c r="G64" s="63">
        <f>'Front Office'!G42+HSKP!G42+Reservation!G42+'ROOMS Admin'!G42</f>
        <v>588</v>
      </c>
      <c r="H64" s="63">
        <f>'Front Office'!H42+HSKP!H42+Reservation!H42+'ROOMS Admin'!H42</f>
        <v>612</v>
      </c>
      <c r="I64" s="63">
        <f>'Front Office'!I42+HSKP!I42+Reservation!I42+'ROOMS Admin'!I42</f>
        <v>648</v>
      </c>
      <c r="J64" s="63">
        <f>'Front Office'!J42+HSKP!J42+Reservation!J42+'ROOMS Admin'!J42</f>
        <v>636</v>
      </c>
      <c r="K64" s="63">
        <f>'Front Office'!K42+HSKP!K42+Reservation!K42+'ROOMS Admin'!K42</f>
        <v>696</v>
      </c>
      <c r="L64" s="63">
        <f>'Front Office'!L42+HSKP!L42+Reservation!L42+'ROOMS Admin'!L42</f>
        <v>708</v>
      </c>
      <c r="M64" s="63">
        <f>'Front Office'!M42+HSKP!M42+Reservation!M42+'ROOMS Admin'!M42</f>
        <v>636</v>
      </c>
      <c r="N64" s="63">
        <f>'Front Office'!N42+HSKP!N42+Reservation!N42+'ROOMS Admin'!N42</f>
        <v>672</v>
      </c>
      <c r="O64" s="63">
        <f>'Front Office'!O42+HSKP!O42+Reservation!O42+'ROOMS Admin'!O42</f>
        <v>624</v>
      </c>
      <c r="P64" s="63">
        <f>'Front Office'!P42+HSKP!P42+Reservation!P42+'ROOMS Admin'!P42</f>
        <v>636</v>
      </c>
      <c r="Q64" s="61">
        <f t="shared" si="10"/>
        <v>7668</v>
      </c>
      <c r="R64" s="3">
        <f t="shared" si="9"/>
        <v>0.27955813190418899</v>
      </c>
      <c r="S64" s="137">
        <f t="shared" si="11"/>
        <v>1.7445216004193843E-4</v>
      </c>
      <c r="T64" s="283">
        <v>0.32077024859663195</v>
      </c>
      <c r="U64" s="40"/>
    </row>
    <row r="65" spans="1:21" s="3" customFormat="1" ht="25.4" customHeight="1">
      <c r="A65" s="3" t="s">
        <v>200</v>
      </c>
      <c r="B65" s="50" t="s">
        <v>138</v>
      </c>
      <c r="D65" s="26" t="s">
        <v>201</v>
      </c>
      <c r="E65" s="63">
        <f>'Front Office'!E43+HSKP!E43+Reservation!E43+'ROOMS Admin'!E43</f>
        <v>0</v>
      </c>
      <c r="F65" s="63">
        <f>'Front Office'!F43+HSKP!F43+Reservation!F43+'ROOMS Admin'!F43</f>
        <v>0</v>
      </c>
      <c r="G65" s="63">
        <f>'Front Office'!G43+HSKP!G43+Reservation!G43+'ROOMS Admin'!G43</f>
        <v>0</v>
      </c>
      <c r="H65" s="63">
        <f>'Front Office'!H43+HSKP!H43+Reservation!H43+'ROOMS Admin'!H43</f>
        <v>0</v>
      </c>
      <c r="I65" s="63">
        <f>'Front Office'!I43+HSKP!I43+Reservation!I43+'ROOMS Admin'!I43</f>
        <v>0</v>
      </c>
      <c r="J65" s="63">
        <f>'Front Office'!J43+HSKP!J43+Reservation!J43+'ROOMS Admin'!J43</f>
        <v>0</v>
      </c>
      <c r="K65" s="63">
        <f>'Front Office'!K43+HSKP!K43+Reservation!K43+'ROOMS Admin'!K43</f>
        <v>0</v>
      </c>
      <c r="L65" s="63">
        <f>'Front Office'!L43+HSKP!L43+Reservation!L43+'ROOMS Admin'!L43</f>
        <v>0</v>
      </c>
      <c r="M65" s="63">
        <f>'Front Office'!M43+HSKP!M43+Reservation!M43+'ROOMS Admin'!M43</f>
        <v>0</v>
      </c>
      <c r="N65" s="63">
        <f>'Front Office'!N43+HSKP!N43+Reservation!N43+'ROOMS Admin'!N43</f>
        <v>0</v>
      </c>
      <c r="O65" s="63">
        <f>'Front Office'!O43+HSKP!O43+Reservation!O43+'ROOMS Admin'!O43</f>
        <v>0</v>
      </c>
      <c r="P65" s="63">
        <f>'Front Office'!P43+HSKP!P43+Reservation!P43+'ROOMS Admin'!P43</f>
        <v>0</v>
      </c>
      <c r="Q65" s="61">
        <f t="shared" si="10"/>
        <v>0</v>
      </c>
      <c r="R65" s="3">
        <f t="shared" si="9"/>
        <v>0</v>
      </c>
      <c r="S65" s="137">
        <f t="shared" si="11"/>
        <v>0</v>
      </c>
      <c r="T65" s="283">
        <v>0</v>
      </c>
      <c r="U65" s="40"/>
    </row>
    <row r="66" spans="1:21" s="3" customFormat="1" ht="25.4" customHeight="1">
      <c r="A66" s="3" t="s">
        <v>202</v>
      </c>
      <c r="B66" s="50" t="s">
        <v>138</v>
      </c>
      <c r="D66" s="26" t="s">
        <v>203</v>
      </c>
      <c r="E66" s="63">
        <f>'Front Office'!E44+HSKP!E44+Reservation!E44+'ROOMS Admin'!E44</f>
        <v>0</v>
      </c>
      <c r="F66" s="63">
        <f>'Front Office'!F44+HSKP!F44+Reservation!F44+'ROOMS Admin'!F44</f>
        <v>0</v>
      </c>
      <c r="G66" s="63">
        <f>'Front Office'!G44+HSKP!G44+Reservation!G44+'ROOMS Admin'!G44</f>
        <v>0</v>
      </c>
      <c r="H66" s="63">
        <f>'Front Office'!H44+HSKP!H44+Reservation!H44+'ROOMS Admin'!H44</f>
        <v>0</v>
      </c>
      <c r="I66" s="63">
        <f>'Front Office'!I44+HSKP!I44+Reservation!I44+'ROOMS Admin'!I44</f>
        <v>0</v>
      </c>
      <c r="J66" s="63">
        <f>'Front Office'!J44+HSKP!J44+Reservation!J44+'ROOMS Admin'!J44</f>
        <v>0</v>
      </c>
      <c r="K66" s="63">
        <f>'Front Office'!K44+HSKP!K44+Reservation!K44+'ROOMS Admin'!K44</f>
        <v>0</v>
      </c>
      <c r="L66" s="63">
        <f>'Front Office'!L44+HSKP!L44+Reservation!L44+'ROOMS Admin'!L44</f>
        <v>0</v>
      </c>
      <c r="M66" s="63">
        <f>'Front Office'!M44+HSKP!M44+Reservation!M44+'ROOMS Admin'!M44</f>
        <v>0</v>
      </c>
      <c r="N66" s="63">
        <f>'Front Office'!N44+HSKP!N44+Reservation!N44+'ROOMS Admin'!N44</f>
        <v>0</v>
      </c>
      <c r="O66" s="63">
        <f>'Front Office'!O44+HSKP!O44+Reservation!O44+'ROOMS Admin'!O44</f>
        <v>0</v>
      </c>
      <c r="P66" s="63">
        <f>'Front Office'!P44+HSKP!P44+Reservation!P44+'ROOMS Admin'!P44</f>
        <v>0</v>
      </c>
      <c r="Q66" s="61">
        <f t="shared" si="10"/>
        <v>0</v>
      </c>
      <c r="R66" s="3">
        <f t="shared" si="9"/>
        <v>0</v>
      </c>
      <c r="S66" s="137">
        <f t="shared" si="11"/>
        <v>0</v>
      </c>
      <c r="T66" s="283">
        <v>0</v>
      </c>
      <c r="U66" s="40"/>
    </row>
    <row r="67" spans="1:21" s="3" customFormat="1" ht="25.4" hidden="1" customHeight="1">
      <c r="A67" s="3" t="s">
        <v>204</v>
      </c>
      <c r="B67" s="50" t="s">
        <v>138</v>
      </c>
      <c r="D67" s="26" t="s">
        <v>205</v>
      </c>
      <c r="E67" s="63">
        <f>'Front Office'!E45+HSKP!E45+Reservation!E45+'ROOMS Admin'!E45</f>
        <v>0</v>
      </c>
      <c r="F67" s="63">
        <f>'Front Office'!F45+HSKP!F45+Reservation!F45+'ROOMS Admin'!F45</f>
        <v>0</v>
      </c>
      <c r="G67" s="63">
        <f>'Front Office'!G45+HSKP!G45+Reservation!G45+'ROOMS Admin'!G45</f>
        <v>0</v>
      </c>
      <c r="H67" s="63">
        <f>'Front Office'!H45+HSKP!H45+Reservation!H45+'ROOMS Admin'!H45</f>
        <v>0</v>
      </c>
      <c r="I67" s="63">
        <f>'Front Office'!I45+HSKP!I45+Reservation!I45+'ROOMS Admin'!I45</f>
        <v>0</v>
      </c>
      <c r="J67" s="63">
        <f>'Front Office'!J45+HSKP!J45+Reservation!J45+'ROOMS Admin'!J45</f>
        <v>0</v>
      </c>
      <c r="K67" s="63">
        <f>'Front Office'!K45+HSKP!K45+Reservation!K45+'ROOMS Admin'!K45</f>
        <v>0</v>
      </c>
      <c r="L67" s="63">
        <f>'Front Office'!L45+HSKP!L45+Reservation!L45+'ROOMS Admin'!L45</f>
        <v>0</v>
      </c>
      <c r="M67" s="63">
        <f>'Front Office'!M45+HSKP!M45+Reservation!M45+'ROOMS Admin'!M45</f>
        <v>0</v>
      </c>
      <c r="N67" s="63">
        <f>'Front Office'!N45+HSKP!N45+Reservation!N45+'ROOMS Admin'!N45</f>
        <v>0</v>
      </c>
      <c r="O67" s="63">
        <f>'Front Office'!O45+HSKP!O45+Reservation!O45+'ROOMS Admin'!O45</f>
        <v>0</v>
      </c>
      <c r="P67" s="63">
        <f>'Front Office'!P45+HSKP!P45+Reservation!P45+'ROOMS Admin'!P45</f>
        <v>0</v>
      </c>
      <c r="Q67" s="61">
        <f t="shared" si="10"/>
        <v>0</v>
      </c>
      <c r="R67" s="3">
        <f t="shared" si="9"/>
        <v>0</v>
      </c>
      <c r="S67" s="137">
        <f t="shared" si="11"/>
        <v>0</v>
      </c>
      <c r="T67" s="283">
        <v>0</v>
      </c>
      <c r="U67" s="40"/>
    </row>
    <row r="68" spans="1:21" s="3" customFormat="1" ht="25.4" hidden="1" customHeight="1">
      <c r="A68" s="3" t="s">
        <v>206</v>
      </c>
      <c r="B68" s="50" t="s">
        <v>138</v>
      </c>
      <c r="D68" s="26" t="s">
        <v>207</v>
      </c>
      <c r="E68" s="63">
        <f>'Front Office'!E46+HSKP!E46+Reservation!E46+'ROOMS Admin'!E46</f>
        <v>0</v>
      </c>
      <c r="F68" s="63">
        <f>'Front Office'!F46+HSKP!F46+Reservation!F46+'ROOMS Admin'!F46</f>
        <v>0</v>
      </c>
      <c r="G68" s="63">
        <f>'Front Office'!G46+HSKP!G46+Reservation!G46+'ROOMS Admin'!G46</f>
        <v>0</v>
      </c>
      <c r="H68" s="63">
        <f>'Front Office'!H46+HSKP!H46+Reservation!H46+'ROOMS Admin'!H46</f>
        <v>0</v>
      </c>
      <c r="I68" s="63">
        <f>'Front Office'!I46+HSKP!I46+Reservation!I46+'ROOMS Admin'!I46</f>
        <v>0</v>
      </c>
      <c r="J68" s="63">
        <f>'Front Office'!J46+HSKP!J46+Reservation!J46+'ROOMS Admin'!J46</f>
        <v>0</v>
      </c>
      <c r="K68" s="63">
        <f>'Front Office'!K46+HSKP!K46+Reservation!K46+'ROOMS Admin'!K46</f>
        <v>0</v>
      </c>
      <c r="L68" s="63">
        <f>'Front Office'!L46+HSKP!L46+Reservation!L46+'ROOMS Admin'!L46</f>
        <v>0</v>
      </c>
      <c r="M68" s="63">
        <f>'Front Office'!M46+HSKP!M46+Reservation!M46+'ROOMS Admin'!M46</f>
        <v>0</v>
      </c>
      <c r="N68" s="63">
        <f>'Front Office'!N46+HSKP!N46+Reservation!N46+'ROOMS Admin'!N46</f>
        <v>0</v>
      </c>
      <c r="O68" s="63">
        <f>'Front Office'!O46+HSKP!O46+Reservation!O46+'ROOMS Admin'!O46</f>
        <v>0</v>
      </c>
      <c r="P68" s="63">
        <f>'Front Office'!P46+HSKP!P46+Reservation!P46+'ROOMS Admin'!P46</f>
        <v>0</v>
      </c>
      <c r="Q68" s="61">
        <f t="shared" si="10"/>
        <v>0</v>
      </c>
      <c r="R68" s="3">
        <f t="shared" ref="R68:R99" si="12">Q68/$Q$111</f>
        <v>0</v>
      </c>
      <c r="S68" s="137">
        <f t="shared" si="11"/>
        <v>0</v>
      </c>
      <c r="T68" s="283">
        <v>0</v>
      </c>
      <c r="U68" s="40"/>
    </row>
    <row r="69" spans="1:21" s="3" customFormat="1" ht="25.4" customHeight="1">
      <c r="A69" s="3" t="s">
        <v>208</v>
      </c>
      <c r="B69" s="50" t="s">
        <v>138</v>
      </c>
      <c r="D69" s="26" t="s">
        <v>209</v>
      </c>
      <c r="E69" s="63">
        <f>'Front Office'!E47+HSKP!E47+Reservation!E47+'ROOMS Admin'!E47</f>
        <v>0</v>
      </c>
      <c r="F69" s="63">
        <f>'Front Office'!F47+HSKP!F47+Reservation!F47+'ROOMS Admin'!F47</f>
        <v>0</v>
      </c>
      <c r="G69" s="63">
        <f>'Front Office'!G47+HSKP!G47+Reservation!G47+'ROOMS Admin'!G47</f>
        <v>0</v>
      </c>
      <c r="H69" s="63">
        <f>'Front Office'!H47+HSKP!H47+Reservation!H47+'ROOMS Admin'!H47</f>
        <v>0</v>
      </c>
      <c r="I69" s="63">
        <f>'Front Office'!I47+HSKP!I47+Reservation!I47+'ROOMS Admin'!I47</f>
        <v>0</v>
      </c>
      <c r="J69" s="63">
        <f>'Front Office'!J47+HSKP!J47+Reservation!J47+'ROOMS Admin'!J47</f>
        <v>0</v>
      </c>
      <c r="K69" s="63">
        <f>'Front Office'!K47+HSKP!K47+Reservation!K47+'ROOMS Admin'!K47</f>
        <v>0</v>
      </c>
      <c r="L69" s="63">
        <f>'Front Office'!L47+HSKP!L47+Reservation!L47+'ROOMS Admin'!L47</f>
        <v>0</v>
      </c>
      <c r="M69" s="63">
        <f>'Front Office'!M47+HSKP!M47+Reservation!M47+'ROOMS Admin'!M47</f>
        <v>0</v>
      </c>
      <c r="N69" s="63">
        <f>'Front Office'!N47+HSKP!N47+Reservation!N47+'ROOMS Admin'!N47</f>
        <v>0</v>
      </c>
      <c r="O69" s="63">
        <f>'Front Office'!O47+HSKP!O47+Reservation!O47+'ROOMS Admin'!O47</f>
        <v>0</v>
      </c>
      <c r="P69" s="63">
        <f>'Front Office'!P47+HSKP!P47+Reservation!P47+'ROOMS Admin'!P47</f>
        <v>0</v>
      </c>
      <c r="Q69" s="61">
        <f t="shared" si="10"/>
        <v>0</v>
      </c>
      <c r="R69" s="3">
        <f t="shared" si="12"/>
        <v>0</v>
      </c>
      <c r="S69" s="137">
        <f t="shared" si="11"/>
        <v>0</v>
      </c>
      <c r="T69" s="283">
        <v>0</v>
      </c>
      <c r="U69" s="40"/>
    </row>
    <row r="70" spans="1:21" s="3" customFormat="1" ht="25.4" customHeight="1">
      <c r="A70" s="3" t="s">
        <v>210</v>
      </c>
      <c r="B70" s="50" t="s">
        <v>138</v>
      </c>
      <c r="D70" s="26" t="s">
        <v>211</v>
      </c>
      <c r="E70" s="63">
        <f>'Front Office'!E48+HSKP!E48+Reservation!E48+'ROOMS Admin'!E48</f>
        <v>0</v>
      </c>
      <c r="F70" s="63">
        <f>'Front Office'!F48+HSKP!F48+Reservation!F48+'ROOMS Admin'!F48</f>
        <v>0</v>
      </c>
      <c r="G70" s="63">
        <f>'Front Office'!G48+HSKP!G48+Reservation!G48+'ROOMS Admin'!G48</f>
        <v>0</v>
      </c>
      <c r="H70" s="63">
        <f>'Front Office'!H48+HSKP!H48+Reservation!H48+'ROOMS Admin'!H48</f>
        <v>0</v>
      </c>
      <c r="I70" s="63">
        <f>'Front Office'!I48+HSKP!I48+Reservation!I48+'ROOMS Admin'!I48</f>
        <v>0</v>
      </c>
      <c r="J70" s="63">
        <f>'Front Office'!J48+HSKP!J48+Reservation!J48+'ROOMS Admin'!J48</f>
        <v>0</v>
      </c>
      <c r="K70" s="63">
        <f>'Front Office'!K48+HSKP!K48+Reservation!K48+'ROOMS Admin'!K48</f>
        <v>0</v>
      </c>
      <c r="L70" s="63">
        <f>'Front Office'!L48+HSKP!L48+Reservation!L48+'ROOMS Admin'!L48</f>
        <v>0</v>
      </c>
      <c r="M70" s="63">
        <f>'Front Office'!M48+HSKP!M48+Reservation!M48+'ROOMS Admin'!M48</f>
        <v>0</v>
      </c>
      <c r="N70" s="63">
        <f>'Front Office'!N48+HSKP!N48+Reservation!N48+'ROOMS Admin'!N48</f>
        <v>0</v>
      </c>
      <c r="O70" s="63">
        <f>'Front Office'!O48+HSKP!O48+Reservation!O48+'ROOMS Admin'!O48</f>
        <v>0</v>
      </c>
      <c r="P70" s="63">
        <f>'Front Office'!P48+HSKP!P48+Reservation!P48+'ROOMS Admin'!P48</f>
        <v>0</v>
      </c>
      <c r="Q70" s="61">
        <f t="shared" si="10"/>
        <v>0</v>
      </c>
      <c r="R70" s="3">
        <f t="shared" si="12"/>
        <v>0</v>
      </c>
      <c r="S70" s="137">
        <f t="shared" si="11"/>
        <v>0</v>
      </c>
      <c r="T70" s="283">
        <v>0</v>
      </c>
      <c r="U70" s="40"/>
    </row>
    <row r="71" spans="1:21" s="3" customFormat="1" ht="25.4" customHeight="1">
      <c r="A71" s="3" t="s">
        <v>212</v>
      </c>
      <c r="B71" s="50" t="s">
        <v>138</v>
      </c>
      <c r="D71" s="26" t="s">
        <v>213</v>
      </c>
      <c r="E71" s="63">
        <f>'Front Office'!E49+HSKP!E49+Reservation!E49+'ROOMS Admin'!E49</f>
        <v>37735.849056603773</v>
      </c>
      <c r="F71" s="63">
        <f>'Front Office'!F49+HSKP!F49+Reservation!F49+'ROOMS Admin'!F49</f>
        <v>37735.849056603773</v>
      </c>
      <c r="G71" s="63">
        <f>'Front Office'!G49+HSKP!G49+Reservation!G49+'ROOMS Admin'!G49</f>
        <v>37735.849056603773</v>
      </c>
      <c r="H71" s="63">
        <f>'Front Office'!H49+HSKP!H49+Reservation!H49+'ROOMS Admin'!H49</f>
        <v>37735.849056603773</v>
      </c>
      <c r="I71" s="63">
        <f>'Front Office'!I49+HSKP!I49+Reservation!I49+'ROOMS Admin'!I49</f>
        <v>37735.849056603773</v>
      </c>
      <c r="J71" s="63">
        <f>'Front Office'!J49+HSKP!J49+Reservation!J49+'ROOMS Admin'!J49</f>
        <v>37735.849056603773</v>
      </c>
      <c r="K71" s="63">
        <f>'Front Office'!K49+HSKP!K49+Reservation!K49+'ROOMS Admin'!K49</f>
        <v>37735.849056603773</v>
      </c>
      <c r="L71" s="63">
        <f>'Front Office'!L49+HSKP!L49+Reservation!L49+'ROOMS Admin'!L49</f>
        <v>37735.849056603773</v>
      </c>
      <c r="M71" s="63">
        <f>'Front Office'!M49+HSKP!M49+Reservation!M49+'ROOMS Admin'!M49</f>
        <v>37735.849056603773</v>
      </c>
      <c r="N71" s="63">
        <f>'Front Office'!N49+HSKP!N49+Reservation!N49+'ROOMS Admin'!N49</f>
        <v>37735.849056603773</v>
      </c>
      <c r="O71" s="63">
        <f>'Front Office'!O49+HSKP!O49+Reservation!O49+'ROOMS Admin'!O49</f>
        <v>37735.849056603773</v>
      </c>
      <c r="P71" s="63">
        <f>'Front Office'!P49+HSKP!P49+Reservation!P49+'ROOMS Admin'!P49</f>
        <v>37735.849056603773</v>
      </c>
      <c r="Q71" s="61">
        <f t="shared" si="10"/>
        <v>452830.18867924536</v>
      </c>
      <c r="R71" s="3">
        <f t="shared" si="12"/>
        <v>16.509176006389055</v>
      </c>
      <c r="S71" s="137">
        <f t="shared" si="11"/>
        <v>1.0302191516339708E-2</v>
      </c>
      <c r="T71" s="283">
        <v>3.3927738572574175</v>
      </c>
      <c r="U71" s="40"/>
    </row>
    <row r="72" spans="1:21" s="3" customFormat="1" ht="25.4" customHeight="1">
      <c r="A72" s="3" t="s">
        <v>214</v>
      </c>
      <c r="B72" s="50" t="s">
        <v>138</v>
      </c>
      <c r="D72" s="26" t="s">
        <v>215</v>
      </c>
      <c r="E72" s="63">
        <f>'Front Office'!E50+HSKP!E50+Reservation!E50+'ROOMS Admin'!E50</f>
        <v>0</v>
      </c>
      <c r="F72" s="63">
        <f>'Front Office'!F50+HSKP!F50+Reservation!F50+'ROOMS Admin'!F50</f>
        <v>0</v>
      </c>
      <c r="G72" s="63">
        <f>'Front Office'!G50+HSKP!G50+Reservation!G50+'ROOMS Admin'!G50</f>
        <v>0</v>
      </c>
      <c r="H72" s="63">
        <f>'Front Office'!H50+HSKP!H50+Reservation!H50+'ROOMS Admin'!H50</f>
        <v>0</v>
      </c>
      <c r="I72" s="63">
        <f>'Front Office'!I50+HSKP!I50+Reservation!I50+'ROOMS Admin'!I50</f>
        <v>0</v>
      </c>
      <c r="J72" s="63">
        <f>'Front Office'!J50+HSKP!J50+Reservation!J50+'ROOMS Admin'!J50</f>
        <v>0</v>
      </c>
      <c r="K72" s="63">
        <f>'Front Office'!K50+HSKP!K50+Reservation!K50+'ROOMS Admin'!K50</f>
        <v>0</v>
      </c>
      <c r="L72" s="63">
        <f>'Front Office'!L50+HSKP!L50+Reservation!L50+'ROOMS Admin'!L50</f>
        <v>0</v>
      </c>
      <c r="M72" s="63">
        <f>'Front Office'!M50+HSKP!M50+Reservation!M50+'ROOMS Admin'!M50</f>
        <v>0</v>
      </c>
      <c r="N72" s="63">
        <f>'Front Office'!N50+HSKP!N50+Reservation!N50+'ROOMS Admin'!N50</f>
        <v>0</v>
      </c>
      <c r="O72" s="63">
        <f>'Front Office'!O50+HSKP!O50+Reservation!O50+'ROOMS Admin'!O50</f>
        <v>0</v>
      </c>
      <c r="P72" s="63">
        <f>'Front Office'!P50+HSKP!P50+Reservation!P50+'ROOMS Admin'!P50</f>
        <v>0</v>
      </c>
      <c r="Q72" s="61">
        <f t="shared" si="10"/>
        <v>0</v>
      </c>
      <c r="R72" s="3">
        <f t="shared" si="12"/>
        <v>0</v>
      </c>
      <c r="S72" s="137">
        <f t="shared" si="11"/>
        <v>0</v>
      </c>
      <c r="T72" s="283">
        <v>0</v>
      </c>
      <c r="U72" s="40"/>
    </row>
    <row r="73" spans="1:21" s="3" customFormat="1" ht="25.4" hidden="1" customHeight="1">
      <c r="A73" s="3" t="s">
        <v>216</v>
      </c>
      <c r="B73" s="50" t="s">
        <v>138</v>
      </c>
      <c r="D73" s="26" t="s">
        <v>217</v>
      </c>
      <c r="E73" s="63">
        <f>'Front Office'!E51+HSKP!E51+Reservation!E51+'ROOMS Admin'!E51</f>
        <v>0</v>
      </c>
      <c r="F73" s="63">
        <f>'Front Office'!F51+HSKP!F51+Reservation!F51+'ROOMS Admin'!F51</f>
        <v>0</v>
      </c>
      <c r="G73" s="63">
        <f>'Front Office'!G51+HSKP!G51+Reservation!G51+'ROOMS Admin'!G51</f>
        <v>0</v>
      </c>
      <c r="H73" s="63">
        <f>'Front Office'!H51+HSKP!H51+Reservation!H51+'ROOMS Admin'!H51</f>
        <v>0</v>
      </c>
      <c r="I73" s="63">
        <f>'Front Office'!I51+HSKP!I51+Reservation!I51+'ROOMS Admin'!I51</f>
        <v>0</v>
      </c>
      <c r="J73" s="63">
        <f>'Front Office'!J51+HSKP!J51+Reservation!J51+'ROOMS Admin'!J51</f>
        <v>0</v>
      </c>
      <c r="K73" s="63">
        <f>'Front Office'!K51+HSKP!K51+Reservation!K51+'ROOMS Admin'!K51</f>
        <v>0</v>
      </c>
      <c r="L73" s="63">
        <f>'Front Office'!L51+HSKP!L51+Reservation!L51+'ROOMS Admin'!L51</f>
        <v>0</v>
      </c>
      <c r="M73" s="63">
        <f>'Front Office'!M51+HSKP!M51+Reservation!M51+'ROOMS Admin'!M51</f>
        <v>0</v>
      </c>
      <c r="N73" s="63">
        <f>'Front Office'!N51+HSKP!N51+Reservation!N51+'ROOMS Admin'!N51</f>
        <v>0</v>
      </c>
      <c r="O73" s="63">
        <f>'Front Office'!O51+HSKP!O51+Reservation!O51+'ROOMS Admin'!O51</f>
        <v>0</v>
      </c>
      <c r="P73" s="63">
        <f>'Front Office'!P51+HSKP!P51+Reservation!P51+'ROOMS Admin'!P51</f>
        <v>0</v>
      </c>
      <c r="Q73" s="61">
        <f t="shared" si="10"/>
        <v>0</v>
      </c>
      <c r="R73" s="3">
        <f t="shared" si="12"/>
        <v>0</v>
      </c>
      <c r="S73" s="137">
        <f t="shared" si="11"/>
        <v>0</v>
      </c>
      <c r="T73" s="283">
        <v>0</v>
      </c>
      <c r="U73" s="40"/>
    </row>
    <row r="74" spans="1:21" s="3" customFormat="1" ht="25.4" hidden="1" customHeight="1">
      <c r="A74" s="3" t="s">
        <v>218</v>
      </c>
      <c r="B74" s="50" t="s">
        <v>138</v>
      </c>
      <c r="D74" s="26" t="s">
        <v>219</v>
      </c>
      <c r="E74" s="63">
        <f>'Front Office'!E52+HSKP!E52+Reservation!E52+'ROOMS Admin'!E52</f>
        <v>0</v>
      </c>
      <c r="F74" s="63">
        <f>'Front Office'!F52+HSKP!F52+Reservation!F52+'ROOMS Admin'!F52</f>
        <v>0</v>
      </c>
      <c r="G74" s="63">
        <f>'Front Office'!G52+HSKP!G52+Reservation!G52+'ROOMS Admin'!G52</f>
        <v>0</v>
      </c>
      <c r="H74" s="63">
        <f>'Front Office'!H52+HSKP!H52+Reservation!H52+'ROOMS Admin'!H52</f>
        <v>0</v>
      </c>
      <c r="I74" s="63">
        <f>'Front Office'!I52+HSKP!I52+Reservation!I52+'ROOMS Admin'!I52</f>
        <v>0</v>
      </c>
      <c r="J74" s="63">
        <f>'Front Office'!J52+HSKP!J52+Reservation!J52+'ROOMS Admin'!J52</f>
        <v>0</v>
      </c>
      <c r="K74" s="63">
        <f>'Front Office'!K52+HSKP!K52+Reservation!K52+'ROOMS Admin'!K52</f>
        <v>0</v>
      </c>
      <c r="L74" s="63">
        <f>'Front Office'!L52+HSKP!L52+Reservation!L52+'ROOMS Admin'!L52</f>
        <v>0</v>
      </c>
      <c r="M74" s="63">
        <f>'Front Office'!M52+HSKP!M52+Reservation!M52+'ROOMS Admin'!M52</f>
        <v>0</v>
      </c>
      <c r="N74" s="63">
        <f>'Front Office'!N52+HSKP!N52+Reservation!N52+'ROOMS Admin'!N52</f>
        <v>0</v>
      </c>
      <c r="O74" s="63">
        <f>'Front Office'!O52+HSKP!O52+Reservation!O52+'ROOMS Admin'!O52</f>
        <v>0</v>
      </c>
      <c r="P74" s="63">
        <f>'Front Office'!P52+HSKP!P52+Reservation!P52+'ROOMS Admin'!P52</f>
        <v>0</v>
      </c>
      <c r="Q74" s="61">
        <f t="shared" si="10"/>
        <v>0</v>
      </c>
      <c r="R74" s="3">
        <f t="shared" si="12"/>
        <v>0</v>
      </c>
      <c r="S74" s="137">
        <f t="shared" si="11"/>
        <v>0</v>
      </c>
      <c r="T74" s="283">
        <v>0</v>
      </c>
      <c r="U74" s="40"/>
    </row>
    <row r="75" spans="1:21" s="3" customFormat="1" ht="25.4" hidden="1" customHeight="1">
      <c r="A75" s="3" t="s">
        <v>220</v>
      </c>
      <c r="B75" s="50" t="s">
        <v>138</v>
      </c>
      <c r="D75" s="26" t="s">
        <v>221</v>
      </c>
      <c r="E75" s="63">
        <f>'Front Office'!E53+HSKP!E53+Reservation!E53+'ROOMS Admin'!E53</f>
        <v>0</v>
      </c>
      <c r="F75" s="63">
        <f>'Front Office'!F53+HSKP!F53+Reservation!F53+'ROOMS Admin'!F53</f>
        <v>0</v>
      </c>
      <c r="G75" s="63">
        <f>'Front Office'!G53+HSKP!G53+Reservation!G53+'ROOMS Admin'!G53</f>
        <v>0</v>
      </c>
      <c r="H75" s="63">
        <f>'Front Office'!H53+HSKP!H53+Reservation!H53+'ROOMS Admin'!H53</f>
        <v>0</v>
      </c>
      <c r="I75" s="63">
        <f>'Front Office'!I53+HSKP!I53+Reservation!I53+'ROOMS Admin'!I53</f>
        <v>0</v>
      </c>
      <c r="J75" s="63">
        <f>'Front Office'!J53+HSKP!J53+Reservation!J53+'ROOMS Admin'!J53</f>
        <v>0</v>
      </c>
      <c r="K75" s="63">
        <f>'Front Office'!K53+HSKP!K53+Reservation!K53+'ROOMS Admin'!K53</f>
        <v>0</v>
      </c>
      <c r="L75" s="63">
        <f>'Front Office'!L53+HSKP!L53+Reservation!L53+'ROOMS Admin'!L53</f>
        <v>0</v>
      </c>
      <c r="M75" s="63">
        <f>'Front Office'!M53+HSKP!M53+Reservation!M53+'ROOMS Admin'!M53</f>
        <v>0</v>
      </c>
      <c r="N75" s="63">
        <f>'Front Office'!N53+HSKP!N53+Reservation!N53+'ROOMS Admin'!N53</f>
        <v>0</v>
      </c>
      <c r="O75" s="63">
        <f>'Front Office'!O53+HSKP!O53+Reservation!O53+'ROOMS Admin'!O53</f>
        <v>0</v>
      </c>
      <c r="P75" s="63">
        <f>'Front Office'!P53+HSKP!P53+Reservation!P53+'ROOMS Admin'!P53</f>
        <v>0</v>
      </c>
      <c r="Q75" s="61">
        <f t="shared" si="10"/>
        <v>0</v>
      </c>
      <c r="R75" s="3">
        <f t="shared" si="12"/>
        <v>0</v>
      </c>
      <c r="S75" s="137">
        <f t="shared" si="11"/>
        <v>0</v>
      </c>
      <c r="T75" s="283">
        <v>0</v>
      </c>
      <c r="U75" s="40"/>
    </row>
    <row r="76" spans="1:21" s="3" customFormat="1" ht="25.4" hidden="1" customHeight="1">
      <c r="A76" s="3" t="s">
        <v>222</v>
      </c>
      <c r="B76" s="50" t="s">
        <v>138</v>
      </c>
      <c r="D76" s="26" t="s">
        <v>223</v>
      </c>
      <c r="E76" s="63">
        <f>'Front Office'!E54+HSKP!E54+Reservation!E54+'ROOMS Admin'!E54</f>
        <v>0</v>
      </c>
      <c r="F76" s="63">
        <f>'Front Office'!F54+HSKP!F54+Reservation!F54+'ROOMS Admin'!F54</f>
        <v>0</v>
      </c>
      <c r="G76" s="63">
        <f>'Front Office'!G54+HSKP!G54+Reservation!G54+'ROOMS Admin'!G54</f>
        <v>0</v>
      </c>
      <c r="H76" s="63">
        <f>'Front Office'!H54+HSKP!H54+Reservation!H54+'ROOMS Admin'!H54</f>
        <v>0</v>
      </c>
      <c r="I76" s="63">
        <f>'Front Office'!I54+HSKP!I54+Reservation!I54+'ROOMS Admin'!I54</f>
        <v>0</v>
      </c>
      <c r="J76" s="63">
        <f>'Front Office'!J54+HSKP!J54+Reservation!J54+'ROOMS Admin'!J54</f>
        <v>0</v>
      </c>
      <c r="K76" s="63">
        <f>'Front Office'!K54+HSKP!K54+Reservation!K54+'ROOMS Admin'!K54</f>
        <v>0</v>
      </c>
      <c r="L76" s="63">
        <f>'Front Office'!L54+HSKP!L54+Reservation!L54+'ROOMS Admin'!L54</f>
        <v>0</v>
      </c>
      <c r="M76" s="63">
        <f>'Front Office'!M54+HSKP!M54+Reservation!M54+'ROOMS Admin'!M54</f>
        <v>0</v>
      </c>
      <c r="N76" s="63">
        <f>'Front Office'!N54+HSKP!N54+Reservation!N54+'ROOMS Admin'!N54</f>
        <v>0</v>
      </c>
      <c r="O76" s="63">
        <f>'Front Office'!O54+HSKP!O54+Reservation!O54+'ROOMS Admin'!O54</f>
        <v>0</v>
      </c>
      <c r="P76" s="63">
        <f>'Front Office'!P54+HSKP!P54+Reservation!P54+'ROOMS Admin'!P54</f>
        <v>0</v>
      </c>
      <c r="Q76" s="61">
        <f t="shared" si="10"/>
        <v>0</v>
      </c>
      <c r="R76" s="3">
        <f t="shared" si="12"/>
        <v>0</v>
      </c>
      <c r="S76" s="137">
        <f t="shared" si="11"/>
        <v>0</v>
      </c>
      <c r="T76" s="283">
        <v>0</v>
      </c>
      <c r="U76" s="40"/>
    </row>
    <row r="77" spans="1:21" s="3" customFormat="1" ht="25.4" hidden="1" customHeight="1">
      <c r="A77" s="3" t="s">
        <v>224</v>
      </c>
      <c r="B77" s="50" t="s">
        <v>138</v>
      </c>
      <c r="D77" s="26" t="s">
        <v>225</v>
      </c>
      <c r="E77" s="63">
        <f>'Front Office'!E55+HSKP!E55+Reservation!E55+'ROOMS Admin'!E55</f>
        <v>0</v>
      </c>
      <c r="F77" s="63">
        <f>'Front Office'!F55+HSKP!F55+Reservation!F55+'ROOMS Admin'!F55</f>
        <v>0</v>
      </c>
      <c r="G77" s="63">
        <f>'Front Office'!G55+HSKP!G55+Reservation!G55+'ROOMS Admin'!G55</f>
        <v>0</v>
      </c>
      <c r="H77" s="63">
        <f>'Front Office'!H55+HSKP!H55+Reservation!H55+'ROOMS Admin'!H55</f>
        <v>0</v>
      </c>
      <c r="I77" s="63">
        <f>'Front Office'!I55+HSKP!I55+Reservation!I55+'ROOMS Admin'!I55</f>
        <v>0</v>
      </c>
      <c r="J77" s="63">
        <f>'Front Office'!J55+HSKP!J55+Reservation!J55+'ROOMS Admin'!J55</f>
        <v>0</v>
      </c>
      <c r="K77" s="63">
        <f>'Front Office'!K55+HSKP!K55+Reservation!K55+'ROOMS Admin'!K55</f>
        <v>0</v>
      </c>
      <c r="L77" s="63">
        <f>'Front Office'!L55+HSKP!L55+Reservation!L55+'ROOMS Admin'!L55</f>
        <v>0</v>
      </c>
      <c r="M77" s="63">
        <f>'Front Office'!M55+HSKP!M55+Reservation!M55+'ROOMS Admin'!M55</f>
        <v>0</v>
      </c>
      <c r="N77" s="63">
        <f>'Front Office'!N55+HSKP!N55+Reservation!N55+'ROOMS Admin'!N55</f>
        <v>0</v>
      </c>
      <c r="O77" s="63">
        <f>'Front Office'!O55+HSKP!O55+Reservation!O55+'ROOMS Admin'!O55</f>
        <v>0</v>
      </c>
      <c r="P77" s="63">
        <f>'Front Office'!P55+HSKP!P55+Reservation!P55+'ROOMS Admin'!P55</f>
        <v>0</v>
      </c>
      <c r="Q77" s="61">
        <f t="shared" si="10"/>
        <v>0</v>
      </c>
      <c r="R77" s="3">
        <f t="shared" si="12"/>
        <v>0</v>
      </c>
      <c r="S77" s="137">
        <f t="shared" si="11"/>
        <v>0</v>
      </c>
      <c r="T77" s="283">
        <v>0</v>
      </c>
      <c r="U77" s="40"/>
    </row>
    <row r="78" spans="1:21" s="3" customFormat="1" ht="25.4" hidden="1" customHeight="1">
      <c r="A78" s="3" t="s">
        <v>226</v>
      </c>
      <c r="B78" s="50" t="s">
        <v>138</v>
      </c>
      <c r="D78" s="26" t="s">
        <v>227</v>
      </c>
      <c r="E78" s="63">
        <f>'Front Office'!E56+HSKP!E56+Reservation!E56+'ROOMS Admin'!E56</f>
        <v>0</v>
      </c>
      <c r="F78" s="63">
        <f>'Front Office'!F56+HSKP!F56+Reservation!F56+'ROOMS Admin'!F56</f>
        <v>0</v>
      </c>
      <c r="G78" s="63">
        <f>'Front Office'!G56+HSKP!G56+Reservation!G56+'ROOMS Admin'!G56</f>
        <v>0</v>
      </c>
      <c r="H78" s="63">
        <f>'Front Office'!H56+HSKP!H56+Reservation!H56+'ROOMS Admin'!H56</f>
        <v>0</v>
      </c>
      <c r="I78" s="63">
        <f>'Front Office'!I56+HSKP!I56+Reservation!I56+'ROOMS Admin'!I56</f>
        <v>0</v>
      </c>
      <c r="J78" s="63">
        <f>'Front Office'!J56+HSKP!J56+Reservation!J56+'ROOMS Admin'!J56</f>
        <v>0</v>
      </c>
      <c r="K78" s="63">
        <f>'Front Office'!K56+HSKP!K56+Reservation!K56+'ROOMS Admin'!K56</f>
        <v>0</v>
      </c>
      <c r="L78" s="63">
        <f>'Front Office'!L56+HSKP!L56+Reservation!L56+'ROOMS Admin'!L56</f>
        <v>0</v>
      </c>
      <c r="M78" s="63">
        <f>'Front Office'!M56+HSKP!M56+Reservation!M56+'ROOMS Admin'!M56</f>
        <v>0</v>
      </c>
      <c r="N78" s="63">
        <f>'Front Office'!N56+HSKP!N56+Reservation!N56+'ROOMS Admin'!N56</f>
        <v>0</v>
      </c>
      <c r="O78" s="63">
        <f>'Front Office'!O56+HSKP!O56+Reservation!O56+'ROOMS Admin'!O56</f>
        <v>0</v>
      </c>
      <c r="P78" s="63">
        <f>'Front Office'!P56+HSKP!P56+Reservation!P56+'ROOMS Admin'!P56</f>
        <v>0</v>
      </c>
      <c r="Q78" s="61">
        <f t="shared" si="10"/>
        <v>0</v>
      </c>
      <c r="R78" s="3">
        <f t="shared" si="12"/>
        <v>0</v>
      </c>
      <c r="S78" s="137">
        <f t="shared" si="11"/>
        <v>0</v>
      </c>
      <c r="T78" s="283">
        <v>0</v>
      </c>
      <c r="U78" s="40"/>
    </row>
    <row r="79" spans="1:21" s="3" customFormat="1" ht="25.4" hidden="1" customHeight="1">
      <c r="A79" s="3" t="s">
        <v>228</v>
      </c>
      <c r="B79" s="50" t="s">
        <v>138</v>
      </c>
      <c r="D79" s="26" t="s">
        <v>229</v>
      </c>
      <c r="E79" s="63">
        <f>'Front Office'!E57+HSKP!E57+Reservation!E57+'ROOMS Admin'!E57</f>
        <v>0</v>
      </c>
      <c r="F79" s="63">
        <f>'Front Office'!F57+HSKP!F57+Reservation!F57+'ROOMS Admin'!F57</f>
        <v>0</v>
      </c>
      <c r="G79" s="63">
        <f>'Front Office'!G57+HSKP!G57+Reservation!G57+'ROOMS Admin'!G57</f>
        <v>0</v>
      </c>
      <c r="H79" s="63">
        <f>'Front Office'!H57+HSKP!H57+Reservation!H57+'ROOMS Admin'!H57</f>
        <v>0</v>
      </c>
      <c r="I79" s="63">
        <f>'Front Office'!I57+HSKP!I57+Reservation!I57+'ROOMS Admin'!I57</f>
        <v>0</v>
      </c>
      <c r="J79" s="63">
        <f>'Front Office'!J57+HSKP!J57+Reservation!J57+'ROOMS Admin'!J57</f>
        <v>0</v>
      </c>
      <c r="K79" s="63">
        <f>'Front Office'!K57+HSKP!K57+Reservation!K57+'ROOMS Admin'!K57</f>
        <v>0</v>
      </c>
      <c r="L79" s="63">
        <f>'Front Office'!L57+HSKP!L57+Reservation!L57+'ROOMS Admin'!L57</f>
        <v>0</v>
      </c>
      <c r="M79" s="63">
        <f>'Front Office'!M57+HSKP!M57+Reservation!M57+'ROOMS Admin'!M57</f>
        <v>0</v>
      </c>
      <c r="N79" s="63">
        <f>'Front Office'!N57+HSKP!N57+Reservation!N57+'ROOMS Admin'!N57</f>
        <v>0</v>
      </c>
      <c r="O79" s="63">
        <f>'Front Office'!O57+HSKP!O57+Reservation!O57+'ROOMS Admin'!O57</f>
        <v>0</v>
      </c>
      <c r="P79" s="63">
        <f>'Front Office'!P57+HSKP!P57+Reservation!P57+'ROOMS Admin'!P57</f>
        <v>0</v>
      </c>
      <c r="Q79" s="61">
        <f t="shared" si="10"/>
        <v>0</v>
      </c>
      <c r="R79" s="3">
        <f t="shared" si="12"/>
        <v>0</v>
      </c>
      <c r="S79" s="137">
        <f t="shared" si="11"/>
        <v>0</v>
      </c>
      <c r="T79" s="283">
        <v>0</v>
      </c>
      <c r="U79" s="40"/>
    </row>
    <row r="80" spans="1:21" s="3" customFormat="1" ht="25.4" hidden="1" customHeight="1">
      <c r="A80" s="3" t="s">
        <v>230</v>
      </c>
      <c r="B80" s="50" t="s">
        <v>138</v>
      </c>
      <c r="D80" s="26" t="s">
        <v>231</v>
      </c>
      <c r="E80" s="63">
        <f>'Front Office'!E58+HSKP!E58+Reservation!E58+'ROOMS Admin'!E58</f>
        <v>0</v>
      </c>
      <c r="F80" s="63">
        <f>'Front Office'!F58+HSKP!F58+Reservation!F58+'ROOMS Admin'!F58</f>
        <v>0</v>
      </c>
      <c r="G80" s="63">
        <f>'Front Office'!G58+HSKP!G58+Reservation!G58+'ROOMS Admin'!G58</f>
        <v>0</v>
      </c>
      <c r="H80" s="63">
        <f>'Front Office'!H58+HSKP!H58+Reservation!H58+'ROOMS Admin'!H58</f>
        <v>0</v>
      </c>
      <c r="I80" s="63">
        <f>'Front Office'!I58+HSKP!I58+Reservation!I58+'ROOMS Admin'!I58</f>
        <v>0</v>
      </c>
      <c r="J80" s="63">
        <f>'Front Office'!J58+HSKP!J58+Reservation!J58+'ROOMS Admin'!J58</f>
        <v>0</v>
      </c>
      <c r="K80" s="63">
        <f>'Front Office'!K58+HSKP!K58+Reservation!K58+'ROOMS Admin'!K58</f>
        <v>0</v>
      </c>
      <c r="L80" s="63">
        <f>'Front Office'!L58+HSKP!L58+Reservation!L58+'ROOMS Admin'!L58</f>
        <v>0</v>
      </c>
      <c r="M80" s="63">
        <f>'Front Office'!M58+HSKP!M58+Reservation!M58+'ROOMS Admin'!M58</f>
        <v>0</v>
      </c>
      <c r="N80" s="63">
        <f>'Front Office'!N58+HSKP!N58+Reservation!N58+'ROOMS Admin'!N58</f>
        <v>0</v>
      </c>
      <c r="O80" s="63">
        <f>'Front Office'!O58+HSKP!O58+Reservation!O58+'ROOMS Admin'!O58</f>
        <v>0</v>
      </c>
      <c r="P80" s="63">
        <f>'Front Office'!P58+HSKP!P58+Reservation!P58+'ROOMS Admin'!P58</f>
        <v>0</v>
      </c>
      <c r="Q80" s="61">
        <f t="shared" si="10"/>
        <v>0</v>
      </c>
      <c r="R80" s="3">
        <f t="shared" si="12"/>
        <v>0</v>
      </c>
      <c r="S80" s="137">
        <f t="shared" si="11"/>
        <v>0</v>
      </c>
      <c r="T80" s="283">
        <v>0</v>
      </c>
      <c r="U80" s="40"/>
    </row>
    <row r="81" spans="1:21" s="3" customFormat="1" ht="25.4" hidden="1" customHeight="1">
      <c r="A81" s="3" t="s">
        <v>232</v>
      </c>
      <c r="B81" s="50" t="s">
        <v>138</v>
      </c>
      <c r="D81" s="26" t="s">
        <v>233</v>
      </c>
      <c r="E81" s="63">
        <f>'Front Office'!E59+HSKP!E59+Reservation!E59+'ROOMS Admin'!E59</f>
        <v>0</v>
      </c>
      <c r="F81" s="63">
        <f>'Front Office'!F59+HSKP!F59+Reservation!F59+'ROOMS Admin'!F59</f>
        <v>0</v>
      </c>
      <c r="G81" s="63">
        <f>'Front Office'!G59+HSKP!G59+Reservation!G59+'ROOMS Admin'!G59</f>
        <v>0</v>
      </c>
      <c r="H81" s="63">
        <f>'Front Office'!H59+HSKP!H59+Reservation!H59+'ROOMS Admin'!H59</f>
        <v>0</v>
      </c>
      <c r="I81" s="63">
        <f>'Front Office'!I59+HSKP!I59+Reservation!I59+'ROOMS Admin'!I59</f>
        <v>0</v>
      </c>
      <c r="J81" s="63">
        <f>'Front Office'!J59+HSKP!J59+Reservation!J59+'ROOMS Admin'!J59</f>
        <v>0</v>
      </c>
      <c r="K81" s="63">
        <f>'Front Office'!K59+HSKP!K59+Reservation!K59+'ROOMS Admin'!K59</f>
        <v>0</v>
      </c>
      <c r="L81" s="63">
        <f>'Front Office'!L59+HSKP!L59+Reservation!L59+'ROOMS Admin'!L59</f>
        <v>0</v>
      </c>
      <c r="M81" s="63">
        <f>'Front Office'!M59+HSKP!M59+Reservation!M59+'ROOMS Admin'!M59</f>
        <v>0</v>
      </c>
      <c r="N81" s="63">
        <f>'Front Office'!N59+HSKP!N59+Reservation!N59+'ROOMS Admin'!N59</f>
        <v>0</v>
      </c>
      <c r="O81" s="63">
        <f>'Front Office'!O59+HSKP!O59+Reservation!O59+'ROOMS Admin'!O59</f>
        <v>0</v>
      </c>
      <c r="P81" s="63">
        <f>'Front Office'!P59+HSKP!P59+Reservation!P59+'ROOMS Admin'!P59</f>
        <v>0</v>
      </c>
      <c r="Q81" s="61">
        <f t="shared" si="10"/>
        <v>0</v>
      </c>
      <c r="R81" s="3">
        <f t="shared" si="12"/>
        <v>0</v>
      </c>
      <c r="S81" s="137">
        <f t="shared" si="11"/>
        <v>0</v>
      </c>
      <c r="T81" s="283">
        <v>0</v>
      </c>
      <c r="U81" s="40"/>
    </row>
    <row r="82" spans="1:21" s="3" customFormat="1" ht="25.4" hidden="1" customHeight="1">
      <c r="A82" s="3" t="s">
        <v>234</v>
      </c>
      <c r="B82" s="50" t="s">
        <v>138</v>
      </c>
      <c r="D82" s="26" t="s">
        <v>235</v>
      </c>
      <c r="E82" s="63">
        <f>'Front Office'!E60+HSKP!E60+Reservation!E60+'ROOMS Admin'!E60</f>
        <v>0</v>
      </c>
      <c r="F82" s="63">
        <f>'Front Office'!F60+HSKP!F60+Reservation!F60+'ROOMS Admin'!F60</f>
        <v>0</v>
      </c>
      <c r="G82" s="63">
        <f>'Front Office'!G60+HSKP!G60+Reservation!G60+'ROOMS Admin'!G60</f>
        <v>0</v>
      </c>
      <c r="H82" s="63">
        <f>'Front Office'!H60+HSKP!H60+Reservation!H60+'ROOMS Admin'!H60</f>
        <v>0</v>
      </c>
      <c r="I82" s="63">
        <f>'Front Office'!I60+HSKP!I60+Reservation!I60+'ROOMS Admin'!I60</f>
        <v>0</v>
      </c>
      <c r="J82" s="63">
        <f>'Front Office'!J60+HSKP!J60+Reservation!J60+'ROOMS Admin'!J60</f>
        <v>0</v>
      </c>
      <c r="K82" s="63">
        <f>'Front Office'!K60+HSKP!K60+Reservation!K60+'ROOMS Admin'!K60</f>
        <v>0</v>
      </c>
      <c r="L82" s="63">
        <f>'Front Office'!L60+HSKP!L60+Reservation!L60+'ROOMS Admin'!L60</f>
        <v>0</v>
      </c>
      <c r="M82" s="63">
        <f>'Front Office'!M60+HSKP!M60+Reservation!M60+'ROOMS Admin'!M60</f>
        <v>0</v>
      </c>
      <c r="N82" s="63">
        <f>'Front Office'!N60+HSKP!N60+Reservation!N60+'ROOMS Admin'!N60</f>
        <v>0</v>
      </c>
      <c r="O82" s="63">
        <f>'Front Office'!O60+HSKP!O60+Reservation!O60+'ROOMS Admin'!O60</f>
        <v>0</v>
      </c>
      <c r="P82" s="63">
        <f>'Front Office'!P60+HSKP!P60+Reservation!P60+'ROOMS Admin'!P60</f>
        <v>0</v>
      </c>
      <c r="Q82" s="61">
        <f t="shared" si="10"/>
        <v>0</v>
      </c>
      <c r="R82" s="3">
        <f t="shared" si="12"/>
        <v>0</v>
      </c>
      <c r="S82" s="137">
        <f t="shared" si="11"/>
        <v>0</v>
      </c>
      <c r="T82" s="283">
        <v>0</v>
      </c>
      <c r="U82" s="40"/>
    </row>
    <row r="83" spans="1:21" s="3" customFormat="1" ht="25.4" hidden="1" customHeight="1">
      <c r="A83" s="3" t="s">
        <v>236</v>
      </c>
      <c r="B83" s="50" t="s">
        <v>138</v>
      </c>
      <c r="D83" s="26" t="s">
        <v>237</v>
      </c>
      <c r="E83" s="63">
        <f>'Front Office'!E61+HSKP!E61+Reservation!E61+'ROOMS Admin'!E61</f>
        <v>0</v>
      </c>
      <c r="F83" s="63">
        <f>'Front Office'!F61+HSKP!F61+Reservation!F61+'ROOMS Admin'!F61</f>
        <v>0</v>
      </c>
      <c r="G83" s="63">
        <f>'Front Office'!G61+HSKP!G61+Reservation!G61+'ROOMS Admin'!G61</f>
        <v>0</v>
      </c>
      <c r="H83" s="63">
        <f>'Front Office'!H61+HSKP!H61+Reservation!H61+'ROOMS Admin'!H61</f>
        <v>0</v>
      </c>
      <c r="I83" s="63">
        <f>'Front Office'!I61+HSKP!I61+Reservation!I61+'ROOMS Admin'!I61</f>
        <v>0</v>
      </c>
      <c r="J83" s="63">
        <f>'Front Office'!J61+HSKP!J61+Reservation!J61+'ROOMS Admin'!J61</f>
        <v>0</v>
      </c>
      <c r="K83" s="63">
        <f>'Front Office'!K61+HSKP!K61+Reservation!K61+'ROOMS Admin'!K61</f>
        <v>0</v>
      </c>
      <c r="L83" s="63">
        <f>'Front Office'!L61+HSKP!L61+Reservation!L61+'ROOMS Admin'!L61</f>
        <v>0</v>
      </c>
      <c r="M83" s="63">
        <f>'Front Office'!M61+HSKP!M61+Reservation!M61+'ROOMS Admin'!M61</f>
        <v>0</v>
      </c>
      <c r="N83" s="63">
        <f>'Front Office'!N61+HSKP!N61+Reservation!N61+'ROOMS Admin'!N61</f>
        <v>0</v>
      </c>
      <c r="O83" s="63">
        <f>'Front Office'!O61+HSKP!O61+Reservation!O61+'ROOMS Admin'!O61</f>
        <v>0</v>
      </c>
      <c r="P83" s="63">
        <f>'Front Office'!P61+HSKP!P61+Reservation!P61+'ROOMS Admin'!P61</f>
        <v>0</v>
      </c>
      <c r="Q83" s="61">
        <f t="shared" si="10"/>
        <v>0</v>
      </c>
      <c r="R83" s="3">
        <f t="shared" si="12"/>
        <v>0</v>
      </c>
      <c r="S83" s="137">
        <f t="shared" si="11"/>
        <v>0</v>
      </c>
      <c r="T83" s="283">
        <v>0</v>
      </c>
      <c r="U83" s="40"/>
    </row>
    <row r="84" spans="1:21" s="3" customFormat="1" ht="25.4" hidden="1" customHeight="1">
      <c r="A84" s="3" t="s">
        <v>238</v>
      </c>
      <c r="B84" s="50" t="s">
        <v>138</v>
      </c>
      <c r="D84" s="26" t="s">
        <v>239</v>
      </c>
      <c r="E84" s="63">
        <f>'Front Office'!E62+HSKP!E62+Reservation!E62+'ROOMS Admin'!E62</f>
        <v>0</v>
      </c>
      <c r="F84" s="63">
        <f>'Front Office'!F62+HSKP!F62+Reservation!F62+'ROOMS Admin'!F62</f>
        <v>0</v>
      </c>
      <c r="G84" s="63">
        <f>'Front Office'!G62+HSKP!G62+Reservation!G62+'ROOMS Admin'!G62</f>
        <v>0</v>
      </c>
      <c r="H84" s="63">
        <f>'Front Office'!H62+HSKP!H62+Reservation!H62+'ROOMS Admin'!H62</f>
        <v>0</v>
      </c>
      <c r="I84" s="63">
        <f>'Front Office'!I62+HSKP!I62+Reservation!I62+'ROOMS Admin'!I62</f>
        <v>0</v>
      </c>
      <c r="J84" s="63">
        <f>'Front Office'!J62+HSKP!J62+Reservation!J62+'ROOMS Admin'!J62</f>
        <v>0</v>
      </c>
      <c r="K84" s="63">
        <f>'Front Office'!K62+HSKP!K62+Reservation!K62+'ROOMS Admin'!K62</f>
        <v>0</v>
      </c>
      <c r="L84" s="63">
        <f>'Front Office'!L62+HSKP!L62+Reservation!L62+'ROOMS Admin'!L62</f>
        <v>0</v>
      </c>
      <c r="M84" s="63">
        <f>'Front Office'!M62+HSKP!M62+Reservation!M62+'ROOMS Admin'!M62</f>
        <v>0</v>
      </c>
      <c r="N84" s="63">
        <f>'Front Office'!N62+HSKP!N62+Reservation!N62+'ROOMS Admin'!N62</f>
        <v>0</v>
      </c>
      <c r="O84" s="63">
        <f>'Front Office'!O62+HSKP!O62+Reservation!O62+'ROOMS Admin'!O62</f>
        <v>0</v>
      </c>
      <c r="P84" s="63">
        <f>'Front Office'!P62+HSKP!P62+Reservation!P62+'ROOMS Admin'!P62</f>
        <v>0</v>
      </c>
      <c r="Q84" s="61">
        <f t="shared" si="10"/>
        <v>0</v>
      </c>
      <c r="R84" s="3">
        <f t="shared" si="12"/>
        <v>0</v>
      </c>
      <c r="S84" s="137">
        <f t="shared" si="11"/>
        <v>0</v>
      </c>
      <c r="T84" s="283">
        <v>0</v>
      </c>
      <c r="U84" s="40"/>
    </row>
    <row r="85" spans="1:21" s="3" customFormat="1" ht="25.4" hidden="1" customHeight="1">
      <c r="A85" s="3" t="s">
        <v>240</v>
      </c>
      <c r="B85" s="50" t="s">
        <v>138</v>
      </c>
      <c r="D85" s="26" t="s">
        <v>241</v>
      </c>
      <c r="E85" s="63">
        <f>'Front Office'!E63+HSKP!E63+Reservation!E63+'ROOMS Admin'!E63</f>
        <v>0</v>
      </c>
      <c r="F85" s="63">
        <f>'Front Office'!F63+HSKP!F63+Reservation!F63+'ROOMS Admin'!F63</f>
        <v>0</v>
      </c>
      <c r="G85" s="63">
        <f>'Front Office'!G63+HSKP!G63+Reservation!G63+'ROOMS Admin'!G63</f>
        <v>0</v>
      </c>
      <c r="H85" s="63">
        <f>'Front Office'!H63+HSKP!H63+Reservation!H63+'ROOMS Admin'!H63</f>
        <v>0</v>
      </c>
      <c r="I85" s="63">
        <f>'Front Office'!I63+HSKP!I63+Reservation!I63+'ROOMS Admin'!I63</f>
        <v>0</v>
      </c>
      <c r="J85" s="63">
        <f>'Front Office'!J63+HSKP!J63+Reservation!J63+'ROOMS Admin'!J63</f>
        <v>0</v>
      </c>
      <c r="K85" s="63">
        <f>'Front Office'!K63+HSKP!K63+Reservation!K63+'ROOMS Admin'!K63</f>
        <v>0</v>
      </c>
      <c r="L85" s="63">
        <f>'Front Office'!L63+HSKP!L63+Reservation!L63+'ROOMS Admin'!L63</f>
        <v>0</v>
      </c>
      <c r="M85" s="63">
        <f>'Front Office'!M63+HSKP!M63+Reservation!M63+'ROOMS Admin'!M63</f>
        <v>0</v>
      </c>
      <c r="N85" s="63">
        <f>'Front Office'!N63+HSKP!N63+Reservation!N63+'ROOMS Admin'!N63</f>
        <v>0</v>
      </c>
      <c r="O85" s="63">
        <f>'Front Office'!O63+HSKP!O63+Reservation!O63+'ROOMS Admin'!O63</f>
        <v>0</v>
      </c>
      <c r="P85" s="63">
        <f>'Front Office'!P63+HSKP!P63+Reservation!P63+'ROOMS Admin'!P63</f>
        <v>0</v>
      </c>
      <c r="Q85" s="61">
        <f t="shared" si="10"/>
        <v>0</v>
      </c>
      <c r="R85" s="3">
        <f t="shared" si="12"/>
        <v>0</v>
      </c>
      <c r="S85" s="137">
        <f t="shared" si="11"/>
        <v>0</v>
      </c>
      <c r="T85" s="283">
        <v>0</v>
      </c>
      <c r="U85" s="40"/>
    </row>
    <row r="86" spans="1:21" s="3" customFormat="1" ht="25.4" hidden="1" customHeight="1">
      <c r="A86" s="3" t="s">
        <v>242</v>
      </c>
      <c r="B86" s="50" t="s">
        <v>138</v>
      </c>
      <c r="D86" s="26" t="s">
        <v>243</v>
      </c>
      <c r="E86" s="63">
        <f>'Front Office'!E64+HSKP!E64+Reservation!E64+'ROOMS Admin'!E64</f>
        <v>0</v>
      </c>
      <c r="F86" s="63">
        <f>'Front Office'!F64+HSKP!F64+Reservation!F64+'ROOMS Admin'!F64</f>
        <v>0</v>
      </c>
      <c r="G86" s="63">
        <f>'Front Office'!G64+HSKP!G64+Reservation!G64+'ROOMS Admin'!G64</f>
        <v>0</v>
      </c>
      <c r="H86" s="63">
        <f>'Front Office'!H64+HSKP!H64+Reservation!H64+'ROOMS Admin'!H64</f>
        <v>0</v>
      </c>
      <c r="I86" s="63">
        <f>'Front Office'!I64+HSKP!I64+Reservation!I64+'ROOMS Admin'!I64</f>
        <v>0</v>
      </c>
      <c r="J86" s="63">
        <f>'Front Office'!J64+HSKP!J64+Reservation!J64+'ROOMS Admin'!J64</f>
        <v>0</v>
      </c>
      <c r="K86" s="63">
        <f>'Front Office'!K64+HSKP!K64+Reservation!K64+'ROOMS Admin'!K64</f>
        <v>0</v>
      </c>
      <c r="L86" s="63">
        <f>'Front Office'!L64+HSKP!L64+Reservation!L64+'ROOMS Admin'!L64</f>
        <v>0</v>
      </c>
      <c r="M86" s="63">
        <f>'Front Office'!M64+HSKP!M64+Reservation!M64+'ROOMS Admin'!M64</f>
        <v>0</v>
      </c>
      <c r="N86" s="63">
        <f>'Front Office'!N64+HSKP!N64+Reservation!N64+'ROOMS Admin'!N64</f>
        <v>0</v>
      </c>
      <c r="O86" s="63">
        <f>'Front Office'!O64+HSKP!O64+Reservation!O64+'ROOMS Admin'!O64</f>
        <v>0</v>
      </c>
      <c r="P86" s="63">
        <f>'Front Office'!P64+HSKP!P64+Reservation!P64+'ROOMS Admin'!P64</f>
        <v>0</v>
      </c>
      <c r="Q86" s="61">
        <f t="shared" si="10"/>
        <v>0</v>
      </c>
      <c r="R86" s="3">
        <f t="shared" si="12"/>
        <v>0</v>
      </c>
      <c r="S86" s="137">
        <f t="shared" si="11"/>
        <v>0</v>
      </c>
      <c r="T86" s="283">
        <v>0</v>
      </c>
      <c r="U86" s="40"/>
    </row>
    <row r="87" spans="1:21" s="3" customFormat="1" ht="25.4" hidden="1" customHeight="1">
      <c r="A87" s="3" t="s">
        <v>244</v>
      </c>
      <c r="B87" s="50" t="s">
        <v>138</v>
      </c>
      <c r="D87" s="26" t="s">
        <v>245</v>
      </c>
      <c r="E87" s="63">
        <f>'Front Office'!E65+HSKP!E65+Reservation!E65+'ROOMS Admin'!E65</f>
        <v>0</v>
      </c>
      <c r="F87" s="63">
        <f>'Front Office'!F65+HSKP!F65+Reservation!F65+'ROOMS Admin'!F65</f>
        <v>0</v>
      </c>
      <c r="G87" s="63">
        <f>'Front Office'!G65+HSKP!G65+Reservation!G65+'ROOMS Admin'!G65</f>
        <v>0</v>
      </c>
      <c r="H87" s="63">
        <f>'Front Office'!H65+HSKP!H65+Reservation!H65+'ROOMS Admin'!H65</f>
        <v>0</v>
      </c>
      <c r="I87" s="63">
        <f>'Front Office'!I65+HSKP!I65+Reservation!I65+'ROOMS Admin'!I65</f>
        <v>0</v>
      </c>
      <c r="J87" s="63">
        <f>'Front Office'!J65+HSKP!J65+Reservation!J65+'ROOMS Admin'!J65</f>
        <v>0</v>
      </c>
      <c r="K87" s="63">
        <f>'Front Office'!K65+HSKP!K65+Reservation!K65+'ROOMS Admin'!K65</f>
        <v>0</v>
      </c>
      <c r="L87" s="63">
        <f>'Front Office'!L65+HSKP!L65+Reservation!L65+'ROOMS Admin'!L65</f>
        <v>0</v>
      </c>
      <c r="M87" s="63">
        <f>'Front Office'!M65+HSKP!M65+Reservation!M65+'ROOMS Admin'!M65</f>
        <v>0</v>
      </c>
      <c r="N87" s="63">
        <f>'Front Office'!N65+HSKP!N65+Reservation!N65+'ROOMS Admin'!N65</f>
        <v>0</v>
      </c>
      <c r="O87" s="63">
        <f>'Front Office'!O65+HSKP!O65+Reservation!O65+'ROOMS Admin'!O65</f>
        <v>0</v>
      </c>
      <c r="P87" s="63">
        <f>'Front Office'!P65+HSKP!P65+Reservation!P65+'ROOMS Admin'!P65</f>
        <v>0</v>
      </c>
      <c r="Q87" s="61">
        <f t="shared" si="10"/>
        <v>0</v>
      </c>
      <c r="R87" s="3">
        <f t="shared" si="12"/>
        <v>0</v>
      </c>
      <c r="S87" s="137">
        <f t="shared" si="11"/>
        <v>0</v>
      </c>
      <c r="T87" s="283">
        <v>0</v>
      </c>
      <c r="U87" s="40"/>
    </row>
    <row r="88" spans="1:21" s="3" customFormat="1" ht="25.4" customHeight="1">
      <c r="A88" s="3" t="s">
        <v>246</v>
      </c>
      <c r="B88" s="50" t="s">
        <v>138</v>
      </c>
      <c r="D88" s="26" t="s">
        <v>247</v>
      </c>
      <c r="E88" s="63">
        <f>'Front Office'!E66+HSKP!E66+Reservation!E66+'ROOMS Admin'!E66</f>
        <v>0</v>
      </c>
      <c r="F88" s="63">
        <f>'Front Office'!F66+HSKP!F66+Reservation!F66+'ROOMS Admin'!F66</f>
        <v>0</v>
      </c>
      <c r="G88" s="63">
        <f>'Front Office'!G66+HSKP!G66+Reservation!G66+'ROOMS Admin'!G66</f>
        <v>0</v>
      </c>
      <c r="H88" s="63">
        <f>'Front Office'!H66+HSKP!H66+Reservation!H66+'ROOMS Admin'!H66</f>
        <v>0</v>
      </c>
      <c r="I88" s="63">
        <f>'Front Office'!I66+HSKP!I66+Reservation!I66+'ROOMS Admin'!I66</f>
        <v>0</v>
      </c>
      <c r="J88" s="63">
        <f>'Front Office'!J66+HSKP!J66+Reservation!J66+'ROOMS Admin'!J66</f>
        <v>0</v>
      </c>
      <c r="K88" s="63">
        <f>'Front Office'!K66+HSKP!K66+Reservation!K66+'ROOMS Admin'!K66</f>
        <v>0</v>
      </c>
      <c r="L88" s="63">
        <f>'Front Office'!L66+HSKP!L66+Reservation!L66+'ROOMS Admin'!L66</f>
        <v>0</v>
      </c>
      <c r="M88" s="63">
        <f>'Front Office'!M66+HSKP!M66+Reservation!M66+'ROOMS Admin'!M66</f>
        <v>0</v>
      </c>
      <c r="N88" s="63">
        <f>'Front Office'!N66+HSKP!N66+Reservation!N66+'ROOMS Admin'!N66</f>
        <v>0</v>
      </c>
      <c r="O88" s="63">
        <f>'Front Office'!O66+HSKP!O66+Reservation!O66+'ROOMS Admin'!O66</f>
        <v>0</v>
      </c>
      <c r="P88" s="63">
        <f>'Front Office'!P66+HSKP!P66+Reservation!P66+'ROOMS Admin'!P66</f>
        <v>0</v>
      </c>
      <c r="Q88" s="61">
        <f t="shared" si="10"/>
        <v>0</v>
      </c>
      <c r="R88" s="3">
        <f t="shared" si="12"/>
        <v>0</v>
      </c>
      <c r="S88" s="137">
        <f t="shared" si="11"/>
        <v>0</v>
      </c>
      <c r="T88" s="283">
        <v>0</v>
      </c>
      <c r="U88" s="40"/>
    </row>
    <row r="89" spans="1:21" s="3" customFormat="1" ht="25.4" customHeight="1">
      <c r="A89" s="3" t="s">
        <v>248</v>
      </c>
      <c r="B89" s="50" t="s">
        <v>138</v>
      </c>
      <c r="D89" s="26" t="s">
        <v>249</v>
      </c>
      <c r="E89" s="63">
        <f>'Front Office'!E67+HSKP!E67+Reservation!E67+'ROOMS Admin'!E67</f>
        <v>100</v>
      </c>
      <c r="F89" s="63">
        <f>'Front Office'!F67+HSKP!F67+Reservation!F67+'ROOMS Admin'!F67</f>
        <v>150</v>
      </c>
      <c r="G89" s="63">
        <f>'Front Office'!G67+HSKP!G67+Reservation!G67+'ROOMS Admin'!G67</f>
        <v>100</v>
      </c>
      <c r="H89" s="63">
        <f>'Front Office'!H67+HSKP!H67+Reservation!H67+'ROOMS Admin'!H67</f>
        <v>100</v>
      </c>
      <c r="I89" s="63">
        <f>'Front Office'!I67+HSKP!I67+Reservation!I67+'ROOMS Admin'!I67</f>
        <v>150</v>
      </c>
      <c r="J89" s="63">
        <f>'Front Office'!J67+HSKP!J67+Reservation!J67+'ROOMS Admin'!J67</f>
        <v>100</v>
      </c>
      <c r="K89" s="63">
        <f>'Front Office'!K67+HSKP!K67+Reservation!K67+'ROOMS Admin'!K67</f>
        <v>150</v>
      </c>
      <c r="L89" s="63">
        <f>'Front Office'!L67+HSKP!L67+Reservation!L67+'ROOMS Admin'!L67</f>
        <v>150</v>
      </c>
      <c r="M89" s="63">
        <f>'Front Office'!M67+HSKP!M67+Reservation!M67+'ROOMS Admin'!M67</f>
        <v>100</v>
      </c>
      <c r="N89" s="63">
        <f>'Front Office'!N67+HSKP!N67+Reservation!N67+'ROOMS Admin'!N67</f>
        <v>150</v>
      </c>
      <c r="O89" s="63">
        <f>'Front Office'!O67+HSKP!O67+Reservation!O67+'ROOMS Admin'!O67</f>
        <v>100</v>
      </c>
      <c r="P89" s="63">
        <f>'Front Office'!P67+HSKP!P67+Reservation!P67+'ROOMS Admin'!P67</f>
        <v>100</v>
      </c>
      <c r="Q89" s="61">
        <f t="shared" si="10"/>
        <v>1450</v>
      </c>
      <c r="R89" s="3">
        <f t="shared" si="12"/>
        <v>5.2863757337124943E-2</v>
      </c>
      <c r="S89" s="137">
        <f t="shared" si="11"/>
        <v>3.2988475751279433E-5</v>
      </c>
      <c r="T89" s="283">
        <v>0.1595204490777867</v>
      </c>
      <c r="U89" s="40"/>
    </row>
    <row r="90" spans="1:21" s="3" customFormat="1" ht="25.4" customHeight="1">
      <c r="A90" s="3" t="s">
        <v>250</v>
      </c>
      <c r="B90" s="50" t="s">
        <v>138</v>
      </c>
      <c r="D90" s="26" t="s">
        <v>251</v>
      </c>
      <c r="E90" s="63">
        <f>'Front Office'!E68+HSKP!E68+Reservation!E68+'ROOMS Admin'!E68</f>
        <v>1980</v>
      </c>
      <c r="F90" s="63">
        <f>'Front Office'!F68+HSKP!F68+Reservation!F68+'ROOMS Admin'!F68</f>
        <v>1980</v>
      </c>
      <c r="G90" s="63">
        <f>'Front Office'!G68+HSKP!G68+Reservation!G68+'ROOMS Admin'!G68</f>
        <v>2180</v>
      </c>
      <c r="H90" s="63">
        <f>'Front Office'!H68+HSKP!H68+Reservation!H68+'ROOMS Admin'!H68</f>
        <v>2380</v>
      </c>
      <c r="I90" s="63">
        <f>'Front Office'!I68+HSKP!I68+Reservation!I68+'ROOMS Admin'!I68</f>
        <v>2780</v>
      </c>
      <c r="J90" s="63">
        <f>'Front Office'!J68+HSKP!J68+Reservation!J68+'ROOMS Admin'!J68</f>
        <v>2260</v>
      </c>
      <c r="K90" s="63">
        <f>'Front Office'!K68+HSKP!K68+Reservation!K68+'ROOMS Admin'!K68</f>
        <v>2260</v>
      </c>
      <c r="L90" s="63">
        <f>'Front Office'!L68+HSKP!L68+Reservation!L68+'ROOMS Admin'!L68</f>
        <v>2260</v>
      </c>
      <c r="M90" s="63">
        <f>'Front Office'!M68+HSKP!M68+Reservation!M68+'ROOMS Admin'!M68</f>
        <v>2260</v>
      </c>
      <c r="N90" s="63">
        <f>'Front Office'!N68+HSKP!N68+Reservation!N68+'ROOMS Admin'!N68</f>
        <v>2260</v>
      </c>
      <c r="O90" s="63">
        <f>'Front Office'!O68+HSKP!O68+Reservation!O68+'ROOMS Admin'!O68</f>
        <v>2260</v>
      </c>
      <c r="P90" s="63">
        <f>'Front Office'!P68+HSKP!P68+Reservation!P68+'ROOMS Admin'!P68</f>
        <v>2260</v>
      </c>
      <c r="Q90" s="61">
        <f t="shared" si="10"/>
        <v>27120</v>
      </c>
      <c r="R90" s="3">
        <f t="shared" si="12"/>
        <v>0.9887345510226403</v>
      </c>
      <c r="S90" s="137">
        <f t="shared" si="11"/>
        <v>6.1699824991358506E-4</v>
      </c>
      <c r="T90" s="283">
        <v>0.38535725741780269</v>
      </c>
      <c r="U90" s="40"/>
    </row>
    <row r="91" spans="1:21" s="3" customFormat="1" ht="25.4" customHeight="1">
      <c r="A91" s="3" t="s">
        <v>252</v>
      </c>
      <c r="B91" s="50" t="s">
        <v>138</v>
      </c>
      <c r="D91" s="26" t="s">
        <v>253</v>
      </c>
      <c r="E91" s="63">
        <f>'Front Office'!E69+HSKP!E69+Reservation!E69+'ROOMS Admin'!E69</f>
        <v>14614.960000000003</v>
      </c>
      <c r="F91" s="63">
        <f>'Front Office'!F69+HSKP!F69+Reservation!F69+'ROOMS Admin'!F69</f>
        <v>13108.559999999994</v>
      </c>
      <c r="G91" s="63">
        <f>'Front Office'!G69+HSKP!G69+Reservation!G69+'ROOMS Admin'!G69</f>
        <v>12270.079999999998</v>
      </c>
      <c r="H91" s="63">
        <f>'Front Office'!H69+HSKP!H69+Reservation!H69+'ROOMS Admin'!H69</f>
        <v>13094.760000000004</v>
      </c>
      <c r="I91" s="63">
        <f>'Front Office'!I69+HSKP!I69+Reservation!I69+'ROOMS Admin'!I69</f>
        <v>13653.95</v>
      </c>
      <c r="J91" s="63">
        <f>'Front Office'!J69+HSKP!J69+Reservation!J69+'ROOMS Admin'!J69</f>
        <v>12342.600000000002</v>
      </c>
      <c r="K91" s="63">
        <f>'Front Office'!K69+HSKP!K69+Reservation!K69+'ROOMS Admin'!K69</f>
        <v>13127.169999999998</v>
      </c>
      <c r="L91" s="63">
        <f>'Front Office'!L69+HSKP!L69+Reservation!L69+'ROOMS Admin'!L69</f>
        <v>13400.700000000003</v>
      </c>
      <c r="M91" s="63">
        <f>'Front Office'!M69+HSKP!M69+Reservation!M69+'ROOMS Admin'!M69</f>
        <v>12284.9</v>
      </c>
      <c r="N91" s="63">
        <f>'Front Office'!N69+HSKP!N69+Reservation!N69+'ROOMS Admin'!N69</f>
        <v>14040.819999999998</v>
      </c>
      <c r="O91" s="63">
        <f>'Front Office'!O69+HSKP!O69+Reservation!O69+'ROOMS Admin'!O69</f>
        <v>11684.92</v>
      </c>
      <c r="P91" s="63">
        <f>'Front Office'!P69+HSKP!P69+Reservation!P69+'ROOMS Admin'!P69</f>
        <v>11787.220000000001</v>
      </c>
      <c r="Q91" s="61">
        <f t="shared" si="10"/>
        <v>155410.64000000001</v>
      </c>
      <c r="R91" s="3">
        <f t="shared" si="12"/>
        <v>5.6659243865981264</v>
      </c>
      <c r="S91" s="137">
        <f t="shared" si="11"/>
        <v>3.5356966407798745E-3</v>
      </c>
      <c r="T91" s="283">
        <v>3.9979627105052127</v>
      </c>
      <c r="U91" s="40"/>
    </row>
    <row r="92" spans="1:21" s="3" customFormat="1" ht="24.75" customHeight="1">
      <c r="A92" s="3" t="s">
        <v>254</v>
      </c>
      <c r="B92" s="50" t="s">
        <v>138</v>
      </c>
      <c r="D92" s="26" t="s">
        <v>255</v>
      </c>
      <c r="E92" s="63">
        <f>'Front Office'!E70+HSKP!E70+Reservation!E70+'ROOMS Admin'!E70</f>
        <v>0</v>
      </c>
      <c r="F92" s="63">
        <f>'Front Office'!F70+HSKP!F70+Reservation!F70+'ROOMS Admin'!F70</f>
        <v>0</v>
      </c>
      <c r="G92" s="63">
        <f>'Front Office'!G70+HSKP!G70+Reservation!G70+'ROOMS Admin'!G70</f>
        <v>0</v>
      </c>
      <c r="H92" s="63">
        <f>'Front Office'!H70+HSKP!H70+Reservation!H70+'ROOMS Admin'!H70</f>
        <v>0</v>
      </c>
      <c r="I92" s="63">
        <f>'Front Office'!I70+HSKP!I70+Reservation!I70+'ROOMS Admin'!I70</f>
        <v>0</v>
      </c>
      <c r="J92" s="63">
        <f>'Front Office'!J70+HSKP!J70+Reservation!J70+'ROOMS Admin'!J70</f>
        <v>0</v>
      </c>
      <c r="K92" s="63">
        <f>'Front Office'!K70+HSKP!K70+Reservation!K70+'ROOMS Admin'!K70</f>
        <v>0</v>
      </c>
      <c r="L92" s="63">
        <f>'Front Office'!L70+HSKP!L70+Reservation!L70+'ROOMS Admin'!L70</f>
        <v>0</v>
      </c>
      <c r="M92" s="63">
        <f>'Front Office'!M70+HSKP!M70+Reservation!M70+'ROOMS Admin'!M70</f>
        <v>0</v>
      </c>
      <c r="N92" s="63">
        <f>'Front Office'!N70+HSKP!N70+Reservation!N70+'ROOMS Admin'!N70</f>
        <v>0</v>
      </c>
      <c r="O92" s="63">
        <f>'Front Office'!O70+HSKP!O70+Reservation!O70+'ROOMS Admin'!O70</f>
        <v>0</v>
      </c>
      <c r="P92" s="63">
        <f>'Front Office'!P70+HSKP!P70+Reservation!P70+'ROOMS Admin'!P70</f>
        <v>0</v>
      </c>
      <c r="Q92" s="61">
        <f t="shared" si="10"/>
        <v>0</v>
      </c>
      <c r="R92" s="3">
        <f t="shared" si="12"/>
        <v>0</v>
      </c>
      <c r="S92" s="137">
        <f t="shared" si="11"/>
        <v>0</v>
      </c>
      <c r="T92" s="283">
        <v>0</v>
      </c>
      <c r="U92" s="40"/>
    </row>
    <row r="93" spans="1:21" s="3" customFormat="1" ht="25.4" customHeight="1">
      <c r="A93" s="3" t="s">
        <v>256</v>
      </c>
      <c r="B93" s="50" t="s">
        <v>138</v>
      </c>
      <c r="D93" s="26" t="s">
        <v>257</v>
      </c>
      <c r="E93" s="63">
        <f>'Front Office'!E71+HSKP!E71+Reservation!E71+'ROOMS Admin'!E71</f>
        <v>2600</v>
      </c>
      <c r="F93" s="63">
        <f>'Front Office'!F71+HSKP!F71+Reservation!F71+'ROOMS Admin'!F71</f>
        <v>2600</v>
      </c>
      <c r="G93" s="63">
        <f>'Front Office'!G71+HSKP!G71+Reservation!G71+'ROOMS Admin'!G71</f>
        <v>2600</v>
      </c>
      <c r="H93" s="63">
        <f>'Front Office'!H71+HSKP!H71+Reservation!H71+'ROOMS Admin'!H71</f>
        <v>2600</v>
      </c>
      <c r="I93" s="63">
        <f>'Front Office'!I71+HSKP!I71+Reservation!I71+'ROOMS Admin'!I71</f>
        <v>2600</v>
      </c>
      <c r="J93" s="63">
        <f>'Front Office'!J71+HSKP!J71+Reservation!J71+'ROOMS Admin'!J71</f>
        <v>2600</v>
      </c>
      <c r="K93" s="63">
        <f>'Front Office'!K71+HSKP!K71+Reservation!K71+'ROOMS Admin'!K71</f>
        <v>2600</v>
      </c>
      <c r="L93" s="63">
        <f>'Front Office'!L71+HSKP!L71+Reservation!L71+'ROOMS Admin'!L71</f>
        <v>2600</v>
      </c>
      <c r="M93" s="63">
        <f>'Front Office'!M71+HSKP!M71+Reservation!M71+'ROOMS Admin'!M71</f>
        <v>2600</v>
      </c>
      <c r="N93" s="63">
        <f>'Front Office'!N71+HSKP!N71+Reservation!N71+'ROOMS Admin'!N71</f>
        <v>2600</v>
      </c>
      <c r="O93" s="63">
        <f>'Front Office'!O71+HSKP!O71+Reservation!O71+'ROOMS Admin'!O71</f>
        <v>2600</v>
      </c>
      <c r="P93" s="63">
        <f>'Front Office'!P71+HSKP!P71+Reservation!P71+'ROOMS Admin'!P71</f>
        <v>2600</v>
      </c>
      <c r="Q93" s="61">
        <f t="shared" si="10"/>
        <v>31200</v>
      </c>
      <c r="R93" s="3">
        <f t="shared" si="12"/>
        <v>1.1374822268402056</v>
      </c>
      <c r="S93" s="137">
        <f t="shared" si="11"/>
        <v>7.0982099547580574E-4</v>
      </c>
      <c r="T93" s="283">
        <v>0.95003488372093015</v>
      </c>
      <c r="U93" s="40"/>
    </row>
    <row r="94" spans="1:21" s="3" customFormat="1" ht="25.4" customHeight="1">
      <c r="A94" s="3" t="s">
        <v>258</v>
      </c>
      <c r="B94" s="50" t="s">
        <v>138</v>
      </c>
      <c r="D94" s="26" t="s">
        <v>259</v>
      </c>
      <c r="E94" s="63">
        <f>'Front Office'!E72+HSKP!E72+Reservation!E72+'ROOMS Admin'!E72</f>
        <v>100</v>
      </c>
      <c r="F94" s="63">
        <f>'Front Office'!F72+HSKP!F72+Reservation!F72+'ROOMS Admin'!F72</f>
        <v>200</v>
      </c>
      <c r="G94" s="63">
        <f>'Front Office'!G72+HSKP!G72+Reservation!G72+'ROOMS Admin'!G72</f>
        <v>100</v>
      </c>
      <c r="H94" s="63">
        <f>'Front Office'!H72+HSKP!H72+Reservation!H72+'ROOMS Admin'!H72</f>
        <v>100</v>
      </c>
      <c r="I94" s="63">
        <f>'Front Office'!I72+HSKP!I72+Reservation!I72+'ROOMS Admin'!I72</f>
        <v>200</v>
      </c>
      <c r="J94" s="63">
        <f>'Front Office'!J72+HSKP!J72+Reservation!J72+'ROOMS Admin'!J72</f>
        <v>100</v>
      </c>
      <c r="K94" s="63">
        <f>'Front Office'!K72+HSKP!K72+Reservation!K72+'ROOMS Admin'!K72</f>
        <v>200</v>
      </c>
      <c r="L94" s="63">
        <f>'Front Office'!L72+HSKP!L72+Reservation!L72+'ROOMS Admin'!L72</f>
        <v>200</v>
      </c>
      <c r="M94" s="63">
        <f>'Front Office'!M72+HSKP!M72+Reservation!M72+'ROOMS Admin'!M72</f>
        <v>100</v>
      </c>
      <c r="N94" s="63">
        <f>'Front Office'!N72+HSKP!N72+Reservation!N72+'ROOMS Admin'!N72</f>
        <v>200</v>
      </c>
      <c r="O94" s="63">
        <f>'Front Office'!O72+HSKP!O72+Reservation!O72+'ROOMS Admin'!O72</f>
        <v>100</v>
      </c>
      <c r="P94" s="63">
        <f>'Front Office'!P72+HSKP!P72+Reservation!P72+'ROOMS Admin'!P72</f>
        <v>100</v>
      </c>
      <c r="Q94" s="61">
        <f t="shared" si="10"/>
        <v>1700</v>
      </c>
      <c r="R94" s="3">
        <f t="shared" si="12"/>
        <v>6.1978198257318894E-2</v>
      </c>
      <c r="S94" s="137">
        <f t="shared" si="11"/>
        <v>3.8676143984258646E-5</v>
      </c>
      <c r="T94" s="283">
        <v>9.5508821170809929E-2</v>
      </c>
      <c r="U94" s="40"/>
    </row>
    <row r="95" spans="1:21" s="3" customFormat="1" ht="25.4" customHeight="1">
      <c r="A95" s="3" t="s">
        <v>260</v>
      </c>
      <c r="B95" s="50" t="s">
        <v>138</v>
      </c>
      <c r="D95" s="26" t="s">
        <v>261</v>
      </c>
      <c r="E95" s="63">
        <f>'Front Office'!E73+HSKP!E73+Reservation!E73+'ROOMS Admin'!E73</f>
        <v>0</v>
      </c>
      <c r="F95" s="63">
        <f>'Front Office'!F73+HSKP!F73+Reservation!F73+'ROOMS Admin'!F73</f>
        <v>0</v>
      </c>
      <c r="G95" s="63">
        <f>'Front Office'!G73+HSKP!G73+Reservation!G73+'ROOMS Admin'!G73</f>
        <v>0</v>
      </c>
      <c r="H95" s="63">
        <f>'Front Office'!H73+HSKP!H73+Reservation!H73+'ROOMS Admin'!H73</f>
        <v>0</v>
      </c>
      <c r="I95" s="63">
        <f>'Front Office'!I73+HSKP!I73+Reservation!I73+'ROOMS Admin'!I73</f>
        <v>0</v>
      </c>
      <c r="J95" s="63">
        <f>'Front Office'!J73+HSKP!J73+Reservation!J73+'ROOMS Admin'!J73</f>
        <v>0</v>
      </c>
      <c r="K95" s="63">
        <f>'Front Office'!K73+HSKP!K73+Reservation!K73+'ROOMS Admin'!K73</f>
        <v>0</v>
      </c>
      <c r="L95" s="63">
        <f>'Front Office'!L73+HSKP!L73+Reservation!L73+'ROOMS Admin'!L73</f>
        <v>0</v>
      </c>
      <c r="M95" s="63">
        <f>'Front Office'!M73+HSKP!M73+Reservation!M73+'ROOMS Admin'!M73</f>
        <v>0</v>
      </c>
      <c r="N95" s="63">
        <f>'Front Office'!N73+HSKP!N73+Reservation!N73+'ROOMS Admin'!N73</f>
        <v>0</v>
      </c>
      <c r="O95" s="63">
        <f>'Front Office'!O73+HSKP!O73+Reservation!O73+'ROOMS Admin'!O73</f>
        <v>0</v>
      </c>
      <c r="P95" s="63">
        <f>'Front Office'!P73+HSKP!P73+Reservation!P73+'ROOMS Admin'!P73</f>
        <v>0</v>
      </c>
      <c r="Q95" s="61">
        <f t="shared" si="10"/>
        <v>0</v>
      </c>
      <c r="R95" s="3">
        <f t="shared" si="12"/>
        <v>0</v>
      </c>
      <c r="S95" s="137">
        <f t="shared" si="11"/>
        <v>0</v>
      </c>
      <c r="T95" s="283">
        <v>1.3191659983961507E-2</v>
      </c>
      <c r="U95" s="40"/>
    </row>
    <row r="96" spans="1:21" s="3" customFormat="1" ht="25.4" customHeight="1">
      <c r="A96" s="3" t="s">
        <v>262</v>
      </c>
      <c r="B96" s="50" t="s">
        <v>138</v>
      </c>
      <c r="D96" s="26" t="s">
        <v>263</v>
      </c>
      <c r="E96" s="63">
        <f>'Front Office'!E74+HSKP!E74+Reservation!E74+'ROOMS Admin'!E74</f>
        <v>0</v>
      </c>
      <c r="F96" s="63">
        <f>'Front Office'!F74+HSKP!F74+Reservation!F74+'ROOMS Admin'!F74</f>
        <v>0</v>
      </c>
      <c r="G96" s="63">
        <f>'Front Office'!G74+HSKP!G74+Reservation!G74+'ROOMS Admin'!G74</f>
        <v>10000</v>
      </c>
      <c r="H96" s="63">
        <f>'Front Office'!H74+HSKP!H74+Reservation!H74+'ROOMS Admin'!H74</f>
        <v>0</v>
      </c>
      <c r="I96" s="63">
        <f>'Front Office'!I74+HSKP!I74+Reservation!I74+'ROOMS Admin'!I74</f>
        <v>0</v>
      </c>
      <c r="J96" s="63">
        <f>'Front Office'!J74+HSKP!J74+Reservation!J74+'ROOMS Admin'!J74</f>
        <v>0</v>
      </c>
      <c r="K96" s="63">
        <f>'Front Office'!K74+HSKP!K74+Reservation!K74+'ROOMS Admin'!K74</f>
        <v>0</v>
      </c>
      <c r="L96" s="63">
        <f>'Front Office'!L74+HSKP!L74+Reservation!L74+'ROOMS Admin'!L74</f>
        <v>0</v>
      </c>
      <c r="M96" s="63">
        <f>'Front Office'!M74+HSKP!M74+Reservation!M74+'ROOMS Admin'!M74</f>
        <v>0</v>
      </c>
      <c r="N96" s="63">
        <f>'Front Office'!N74+HSKP!N74+Reservation!N74+'ROOMS Admin'!N74</f>
        <v>0</v>
      </c>
      <c r="O96" s="63">
        <f>'Front Office'!O74+HSKP!O74+Reservation!O74+'ROOMS Admin'!O74</f>
        <v>0</v>
      </c>
      <c r="P96" s="63">
        <f>'Front Office'!P74+HSKP!P74+Reservation!P74+'ROOMS Admin'!P74</f>
        <v>0</v>
      </c>
      <c r="Q96" s="61">
        <f t="shared" si="10"/>
        <v>10000</v>
      </c>
      <c r="R96" s="3">
        <f t="shared" si="12"/>
        <v>0.36457763680775823</v>
      </c>
      <c r="S96" s="137">
        <f t="shared" si="11"/>
        <v>2.2750672931916852E-4</v>
      </c>
      <c r="T96" s="283">
        <v>0</v>
      </c>
      <c r="U96" s="40"/>
    </row>
    <row r="97" spans="1:21" s="3" customFormat="1" ht="25.4" customHeight="1">
      <c r="A97" s="3" t="s">
        <v>264</v>
      </c>
      <c r="B97" s="50" t="s">
        <v>138</v>
      </c>
      <c r="D97" s="26" t="s">
        <v>265</v>
      </c>
      <c r="E97" s="63">
        <f>'Front Office'!E75+HSKP!E75+Reservation!E75+'ROOMS Admin'!E75</f>
        <v>0</v>
      </c>
      <c r="F97" s="63">
        <f>'Front Office'!F75+HSKP!F75+Reservation!F75+'ROOMS Admin'!F75</f>
        <v>0</v>
      </c>
      <c r="G97" s="63">
        <f>'Front Office'!G75+HSKP!G75+Reservation!G75+'ROOMS Admin'!G75</f>
        <v>0</v>
      </c>
      <c r="H97" s="63">
        <f>'Front Office'!H75+HSKP!H75+Reservation!H75+'ROOMS Admin'!H75</f>
        <v>0</v>
      </c>
      <c r="I97" s="63">
        <f>'Front Office'!I75+HSKP!I75+Reservation!I75+'ROOMS Admin'!I75</f>
        <v>0</v>
      </c>
      <c r="J97" s="63">
        <f>'Front Office'!J75+HSKP!J75+Reservation!J75+'ROOMS Admin'!J75</f>
        <v>0</v>
      </c>
      <c r="K97" s="63">
        <f>'Front Office'!K75+HSKP!K75+Reservation!K75+'ROOMS Admin'!K75</f>
        <v>0</v>
      </c>
      <c r="L97" s="63">
        <f>'Front Office'!L75+HSKP!L75+Reservation!L75+'ROOMS Admin'!L75</f>
        <v>0</v>
      </c>
      <c r="M97" s="63">
        <f>'Front Office'!M75+HSKP!M75+Reservation!M75+'ROOMS Admin'!M75</f>
        <v>0</v>
      </c>
      <c r="N97" s="63">
        <f>'Front Office'!N75+HSKP!N75+Reservation!N75+'ROOMS Admin'!N75</f>
        <v>0</v>
      </c>
      <c r="O97" s="63">
        <f>'Front Office'!O75+HSKP!O75+Reservation!O75+'ROOMS Admin'!O75</f>
        <v>0</v>
      </c>
      <c r="P97" s="63">
        <f>'Front Office'!P75+HSKP!P75+Reservation!P75+'ROOMS Admin'!P75</f>
        <v>0</v>
      </c>
      <c r="Q97" s="61">
        <f t="shared" si="10"/>
        <v>0</v>
      </c>
      <c r="R97" s="3">
        <f t="shared" si="12"/>
        <v>0</v>
      </c>
      <c r="S97" s="137">
        <f t="shared" si="11"/>
        <v>0</v>
      </c>
      <c r="T97" s="283">
        <v>0</v>
      </c>
      <c r="U97" s="40"/>
    </row>
    <row r="98" spans="1:21" s="3" customFormat="1" ht="25.4" customHeight="1">
      <c r="A98" s="3" t="s">
        <v>266</v>
      </c>
      <c r="B98" s="50" t="s">
        <v>138</v>
      </c>
      <c r="D98" s="26" t="s">
        <v>267</v>
      </c>
      <c r="E98" s="63">
        <f>'Front Office'!E76+HSKP!E76+Reservation!E76+'ROOMS Admin'!E76</f>
        <v>0</v>
      </c>
      <c r="F98" s="63">
        <f>'Front Office'!F76+HSKP!F76+Reservation!F76+'ROOMS Admin'!F76</f>
        <v>0</v>
      </c>
      <c r="G98" s="63">
        <f>'Front Office'!G76+HSKP!G76+Reservation!G76+'ROOMS Admin'!G76</f>
        <v>0</v>
      </c>
      <c r="H98" s="63">
        <f>'Front Office'!H76+HSKP!H76+Reservation!H76+'ROOMS Admin'!H76</f>
        <v>0</v>
      </c>
      <c r="I98" s="63">
        <f>'Front Office'!I76+HSKP!I76+Reservation!I76+'ROOMS Admin'!I76</f>
        <v>0</v>
      </c>
      <c r="J98" s="63">
        <f>'Front Office'!J76+HSKP!J76+Reservation!J76+'ROOMS Admin'!J76</f>
        <v>0</v>
      </c>
      <c r="K98" s="63">
        <f>'Front Office'!K76+HSKP!K76+Reservation!K76+'ROOMS Admin'!K76</f>
        <v>0</v>
      </c>
      <c r="L98" s="63">
        <f>'Front Office'!L76+HSKP!L76+Reservation!L76+'ROOMS Admin'!L76</f>
        <v>0</v>
      </c>
      <c r="M98" s="63">
        <f>'Front Office'!M76+HSKP!M76+Reservation!M76+'ROOMS Admin'!M76</f>
        <v>0</v>
      </c>
      <c r="N98" s="63">
        <f>'Front Office'!N76+HSKP!N76+Reservation!N76+'ROOMS Admin'!N76</f>
        <v>0</v>
      </c>
      <c r="O98" s="63">
        <f>'Front Office'!O76+HSKP!O76+Reservation!O76+'ROOMS Admin'!O76</f>
        <v>0</v>
      </c>
      <c r="P98" s="63">
        <f>'Front Office'!P76+HSKP!P76+Reservation!P76+'ROOMS Admin'!P76</f>
        <v>0</v>
      </c>
      <c r="Q98" s="61">
        <f t="shared" si="10"/>
        <v>0</v>
      </c>
      <c r="R98" s="3">
        <f t="shared" si="12"/>
        <v>0</v>
      </c>
      <c r="S98" s="137">
        <f t="shared" si="11"/>
        <v>0</v>
      </c>
      <c r="T98" s="283">
        <v>0</v>
      </c>
      <c r="U98" s="40"/>
    </row>
    <row r="99" spans="1:21" s="3" customFormat="1" ht="25.4" customHeight="1">
      <c r="A99" s="3" t="s">
        <v>268</v>
      </c>
      <c r="B99" s="50" t="s">
        <v>138</v>
      </c>
      <c r="D99" s="26" t="s">
        <v>269</v>
      </c>
      <c r="E99" s="63">
        <f>'Front Office'!E24+HSKP!E77+Reservation!E77+'ROOMS Admin'!E77</f>
        <v>1688.3333333333333</v>
      </c>
      <c r="F99" s="63">
        <f>'Front Office'!F24+HSKP!F77+Reservation!F77+'ROOMS Admin'!F77</f>
        <v>1688.3333333333333</v>
      </c>
      <c r="G99" s="63">
        <f>'Front Office'!G24+HSKP!G77+Reservation!G77+'ROOMS Admin'!G77</f>
        <v>1688.3333333333333</v>
      </c>
      <c r="H99" s="63">
        <f>'Front Office'!H24+HSKP!H77+Reservation!H77+'ROOMS Admin'!H77</f>
        <v>1688.3333333333333</v>
      </c>
      <c r="I99" s="63">
        <f>'Front Office'!I24+HSKP!I77+Reservation!I77+'ROOMS Admin'!I77</f>
        <v>1688.3333333333333</v>
      </c>
      <c r="J99" s="63">
        <f>'Front Office'!J24+HSKP!J77+Reservation!J77+'ROOMS Admin'!J77</f>
        <v>1688.3333333333333</v>
      </c>
      <c r="K99" s="63">
        <f>'Front Office'!K24+HSKP!K77+Reservation!K77+'ROOMS Admin'!K77</f>
        <v>1688.3333333333333</v>
      </c>
      <c r="L99" s="63">
        <f>'Front Office'!L24+HSKP!L77+Reservation!L77+'ROOMS Admin'!L77</f>
        <v>1688.3333333333333</v>
      </c>
      <c r="M99" s="63">
        <f>'Front Office'!M24+HSKP!M77+Reservation!M77+'ROOMS Admin'!M77</f>
        <v>1688.3333333333333</v>
      </c>
      <c r="N99" s="63">
        <f>'Front Office'!N24+HSKP!N77+Reservation!N77+'ROOMS Admin'!N77</f>
        <v>1688.3333333333333</v>
      </c>
      <c r="O99" s="63">
        <f>'Front Office'!O24+HSKP!O77+Reservation!O77+'ROOMS Admin'!O77</f>
        <v>4688.333333333333</v>
      </c>
      <c r="P99" s="63">
        <f>'Front Office'!P24+HSKP!P77+Reservation!P77+'ROOMS Admin'!P77</f>
        <v>4688.333333333333</v>
      </c>
      <c r="Q99" s="61">
        <f t="shared" si="10"/>
        <v>26260</v>
      </c>
      <c r="R99" s="3">
        <f t="shared" si="12"/>
        <v>0.95738087425717311</v>
      </c>
      <c r="S99" s="137">
        <f t="shared" si="11"/>
        <v>5.9743267119213655E-4</v>
      </c>
      <c r="T99" s="283">
        <v>0</v>
      </c>
      <c r="U99" s="40"/>
    </row>
    <row r="100" spans="1:21" s="3" customFormat="1" ht="25.4" customHeight="1">
      <c r="A100" s="3" t="s">
        <v>270</v>
      </c>
      <c r="B100" s="50" t="s">
        <v>138</v>
      </c>
      <c r="D100" s="26" t="s">
        <v>271</v>
      </c>
      <c r="E100" s="63">
        <f>'Front Office'!E78+HSKP!E78+Reservation!E78+'ROOMS Admin'!E78</f>
        <v>0</v>
      </c>
      <c r="F100" s="63">
        <f>'Front Office'!F78+HSKP!F78+Reservation!F78+'ROOMS Admin'!F78</f>
        <v>0</v>
      </c>
      <c r="G100" s="63">
        <f>'Front Office'!G78+HSKP!G78+Reservation!G78+'ROOMS Admin'!G78</f>
        <v>0</v>
      </c>
      <c r="H100" s="63">
        <f>'Front Office'!H78+HSKP!H78+Reservation!H78+'ROOMS Admin'!H78</f>
        <v>0</v>
      </c>
      <c r="I100" s="63">
        <f>'Front Office'!I78+HSKP!I78+Reservation!I78+'ROOMS Admin'!I78</f>
        <v>0</v>
      </c>
      <c r="J100" s="63">
        <f>'Front Office'!J78+HSKP!J78+Reservation!J78+'ROOMS Admin'!J78</f>
        <v>0</v>
      </c>
      <c r="K100" s="63">
        <f>'Front Office'!K78+HSKP!K78+Reservation!K78+'ROOMS Admin'!K78</f>
        <v>0</v>
      </c>
      <c r="L100" s="63">
        <f>'Front Office'!L78+HSKP!L78+Reservation!L78+'ROOMS Admin'!L78</f>
        <v>0</v>
      </c>
      <c r="M100" s="63">
        <f>'Front Office'!M78+HSKP!M78+Reservation!M78+'ROOMS Admin'!M78</f>
        <v>0</v>
      </c>
      <c r="N100" s="63">
        <f>'Front Office'!N78+HSKP!N78+Reservation!N78+'ROOMS Admin'!N78</f>
        <v>0</v>
      </c>
      <c r="O100" s="63">
        <f>'Front Office'!O78+HSKP!O78+Reservation!O78+'ROOMS Admin'!O78</f>
        <v>0</v>
      </c>
      <c r="P100" s="63">
        <f>'Front Office'!P78+HSKP!P78+Reservation!P78+'ROOMS Admin'!P78</f>
        <v>0</v>
      </c>
      <c r="Q100" s="61">
        <f t="shared" si="10"/>
        <v>0</v>
      </c>
      <c r="R100" s="3">
        <f t="shared" ref="R100:R103" si="13">Q100/$Q$111</f>
        <v>0</v>
      </c>
      <c r="S100" s="137">
        <f t="shared" si="11"/>
        <v>0</v>
      </c>
      <c r="T100" s="283">
        <v>0</v>
      </c>
      <c r="U100" s="40"/>
    </row>
    <row r="101" spans="1:21" s="3" customFormat="1" ht="25.4" customHeight="1">
      <c r="A101" s="3" t="s">
        <v>272</v>
      </c>
      <c r="B101" s="50" t="s">
        <v>138</v>
      </c>
      <c r="D101" s="26" t="s">
        <v>273</v>
      </c>
      <c r="E101" s="63">
        <f>'Front Office'!E79+HSKP!E79+Reservation!E79+'ROOMS Admin'!E79</f>
        <v>0</v>
      </c>
      <c r="F101" s="63">
        <f>'Front Office'!F79+HSKP!F79+Reservation!F79+'ROOMS Admin'!F79</f>
        <v>0</v>
      </c>
      <c r="G101" s="63">
        <f>'Front Office'!G79+HSKP!G79+Reservation!G79+'ROOMS Admin'!G79</f>
        <v>0</v>
      </c>
      <c r="H101" s="63">
        <f>'Front Office'!H79+HSKP!H79+Reservation!H79+'ROOMS Admin'!H79</f>
        <v>0</v>
      </c>
      <c r="I101" s="63">
        <f>'Front Office'!I79+HSKP!I79+Reservation!I79+'ROOMS Admin'!I79</f>
        <v>0</v>
      </c>
      <c r="J101" s="63">
        <f>'Front Office'!J79+HSKP!J79+Reservation!J79+'ROOMS Admin'!J79</f>
        <v>0</v>
      </c>
      <c r="K101" s="63">
        <f>'Front Office'!K79+HSKP!K79+Reservation!K79+'ROOMS Admin'!K79</f>
        <v>0</v>
      </c>
      <c r="L101" s="63">
        <f>'Front Office'!L79+HSKP!L79+Reservation!L79+'ROOMS Admin'!L79</f>
        <v>0</v>
      </c>
      <c r="M101" s="63">
        <f>'Front Office'!M79+HSKP!M79+Reservation!M79+'ROOMS Admin'!M79</f>
        <v>0</v>
      </c>
      <c r="N101" s="63">
        <f>'Front Office'!N79+HSKP!N79+Reservation!N79+'ROOMS Admin'!N79</f>
        <v>0</v>
      </c>
      <c r="O101" s="63">
        <f>'Front Office'!O79+HSKP!O79+Reservation!O79+'ROOMS Admin'!O79</f>
        <v>0</v>
      </c>
      <c r="P101" s="63">
        <f>'Front Office'!P79+HSKP!P79+Reservation!P79+'ROOMS Admin'!P79</f>
        <v>0</v>
      </c>
      <c r="Q101" s="61">
        <f>SUM(E101:P101)</f>
        <v>0</v>
      </c>
      <c r="R101" s="3">
        <f t="shared" si="13"/>
        <v>0</v>
      </c>
      <c r="S101" s="137">
        <f t="shared" ref="S101:S103" si="14">Q101/$Q$20</f>
        <v>0</v>
      </c>
      <c r="T101" s="283">
        <v>0</v>
      </c>
      <c r="U101" s="40"/>
    </row>
    <row r="102" spans="1:21" s="3" customFormat="1" ht="25.4" customHeight="1">
      <c r="A102" s="3" t="s">
        <v>274</v>
      </c>
      <c r="B102" s="50" t="s">
        <v>138</v>
      </c>
      <c r="D102" s="26" t="s">
        <v>275</v>
      </c>
      <c r="E102" s="63">
        <f>'Front Office'!E80+HSKP!E80+Reservation!E80+'ROOMS Admin'!E80</f>
        <v>700</v>
      </c>
      <c r="F102" s="63">
        <f>'Front Office'!F80+HSKP!F80+Reservation!F80+'ROOMS Admin'!F80</f>
        <v>700</v>
      </c>
      <c r="G102" s="63">
        <f>'Front Office'!G80+HSKP!G80+Reservation!G80+'ROOMS Admin'!G80</f>
        <v>700</v>
      </c>
      <c r="H102" s="63">
        <f>'Front Office'!H80+HSKP!H80+Reservation!H80+'ROOMS Admin'!H80</f>
        <v>700</v>
      </c>
      <c r="I102" s="63">
        <f>'Front Office'!I80+HSKP!I80+Reservation!I80+'ROOMS Admin'!I80</f>
        <v>700</v>
      </c>
      <c r="J102" s="63">
        <f>'Front Office'!J80+HSKP!J80+Reservation!J80+'ROOMS Admin'!J80</f>
        <v>700</v>
      </c>
      <c r="K102" s="63">
        <f>'Front Office'!K80+HSKP!K80+Reservation!K80+'ROOMS Admin'!K80</f>
        <v>700</v>
      </c>
      <c r="L102" s="63">
        <f>'Front Office'!L80+HSKP!L80+Reservation!L80+'ROOMS Admin'!L80</f>
        <v>700</v>
      </c>
      <c r="M102" s="63">
        <f>'Front Office'!M80+HSKP!M80+Reservation!M80+'ROOMS Admin'!M80</f>
        <v>700</v>
      </c>
      <c r="N102" s="63">
        <f>'Front Office'!N80+HSKP!N80+Reservation!N80+'ROOMS Admin'!N80</f>
        <v>700</v>
      </c>
      <c r="O102" s="63">
        <f>'Front Office'!O80+HSKP!O80+Reservation!O80+'ROOMS Admin'!O80</f>
        <v>700</v>
      </c>
      <c r="P102" s="63">
        <f>'Front Office'!P80+HSKP!P80+Reservation!P80+'ROOMS Admin'!P80</f>
        <v>700</v>
      </c>
      <c r="Q102" s="61">
        <f>SUM(E102:P102)</f>
        <v>8400</v>
      </c>
      <c r="R102" s="3">
        <f t="shared" si="13"/>
        <v>0.30624521491851692</v>
      </c>
      <c r="S102" s="137">
        <f t="shared" si="14"/>
        <v>1.9110565262810155E-4</v>
      </c>
      <c r="T102" s="283">
        <v>0.12815677626303126</v>
      </c>
      <c r="U102" s="40"/>
    </row>
    <row r="103" spans="1:21" s="3" customFormat="1" ht="25.4" customHeight="1">
      <c r="D103" s="19" t="s">
        <v>276</v>
      </c>
      <c r="E103" s="151">
        <f>SUM(E36:E102)</f>
        <v>559337.3719496855</v>
      </c>
      <c r="F103" s="151">
        <f t="shared" ref="F103:Q103" si="15">SUM(F36:F102)</f>
        <v>759519.8107421383</v>
      </c>
      <c r="G103" s="151">
        <f t="shared" si="15"/>
        <v>511650.16553459119</v>
      </c>
      <c r="H103" s="151">
        <f t="shared" si="15"/>
        <v>517000.56251572329</v>
      </c>
      <c r="I103" s="151">
        <f t="shared" si="15"/>
        <v>621801.6196855345</v>
      </c>
      <c r="J103" s="151">
        <f t="shared" si="15"/>
        <v>505378.55723270436</v>
      </c>
      <c r="K103" s="151">
        <f t="shared" si="15"/>
        <v>764481.78383647802</v>
      </c>
      <c r="L103" s="151">
        <f t="shared" si="15"/>
        <v>819390.28930817603</v>
      </c>
      <c r="M103" s="151">
        <f t="shared" si="15"/>
        <v>494646.58553459123</v>
      </c>
      <c r="N103" s="151">
        <f t="shared" si="15"/>
        <v>657584.69421383634</v>
      </c>
      <c r="O103" s="151">
        <f t="shared" si="15"/>
        <v>575102.66591194982</v>
      </c>
      <c r="P103" s="151">
        <f t="shared" si="15"/>
        <v>664556.27685534582</v>
      </c>
      <c r="Q103" s="151">
        <f t="shared" si="15"/>
        <v>7450450.3833207544</v>
      </c>
      <c r="R103" s="3">
        <f t="shared" si="13"/>
        <v>271.62675939045369</v>
      </c>
      <c r="S103" s="137">
        <f t="shared" si="14"/>
        <v>0.16950275986640503</v>
      </c>
      <c r="T103" s="35"/>
      <c r="U103" s="282"/>
    </row>
    <row r="104" spans="1:21" s="3" customFormat="1" ht="25.4" customHeight="1">
      <c r="D104" s="19" t="s">
        <v>277</v>
      </c>
      <c r="E104" s="151">
        <f>E20-E33-E103</f>
        <v>2267939.1180503145</v>
      </c>
      <c r="F104" s="151">
        <f t="shared" ref="F104:Q104" si="16">F20-F33-F103</f>
        <v>4470286.109257862</v>
      </c>
      <c r="G104" s="151">
        <f t="shared" si="16"/>
        <v>1425300.3344654087</v>
      </c>
      <c r="H104" s="151">
        <f t="shared" si="16"/>
        <v>1476724.0874842766</v>
      </c>
      <c r="I104" s="151">
        <f t="shared" si="16"/>
        <v>2424291.6003144654</v>
      </c>
      <c r="J104" s="151">
        <f t="shared" si="16"/>
        <v>1475075.9327672957</v>
      </c>
      <c r="K104" s="151">
        <f t="shared" si="16"/>
        <v>2920303.5061635221</v>
      </c>
      <c r="L104" s="151">
        <f t="shared" si="16"/>
        <v>3316244.2406918244</v>
      </c>
      <c r="M104" s="151">
        <f t="shared" si="16"/>
        <v>1399972.154465409</v>
      </c>
      <c r="N104" s="151">
        <f t="shared" si="16"/>
        <v>2797092.9357861639</v>
      </c>
      <c r="O104" s="151">
        <f t="shared" si="16"/>
        <v>2033402.4740880504</v>
      </c>
      <c r="P104" s="151">
        <f t="shared" si="16"/>
        <v>2596955.2931446545</v>
      </c>
      <c r="Q104" s="151">
        <f t="shared" si="16"/>
        <v>28603587.786679246</v>
      </c>
      <c r="S104" s="39"/>
      <c r="T104" s="35"/>
      <c r="U104" s="40"/>
    </row>
    <row r="105" spans="1:21" s="3" customFormat="1" ht="25.4" customHeight="1">
      <c r="D105" s="19" t="s">
        <v>278</v>
      </c>
      <c r="E105" s="184">
        <f t="shared" ref="E105:Q105" si="17">+E104/E20</f>
        <v>0.64883135071612374</v>
      </c>
      <c r="F105" s="184">
        <f t="shared" si="17"/>
        <v>0.75916309532011716</v>
      </c>
      <c r="G105" s="184">
        <f t="shared" si="17"/>
        <v>0.55569127638018612</v>
      </c>
      <c r="H105" s="184">
        <f t="shared" si="17"/>
        <v>0.5583383074493512</v>
      </c>
      <c r="I105" s="184">
        <f t="shared" si="17"/>
        <v>0.65261085770088068</v>
      </c>
      <c r="J105" s="184">
        <f t="shared" si="17"/>
        <v>0.56393733115669664</v>
      </c>
      <c r="K105" s="184">
        <f t="shared" si="17"/>
        <v>0.66932769494744992</v>
      </c>
      <c r="L105" s="184">
        <f t="shared" si="17"/>
        <v>0.68817267310943864</v>
      </c>
      <c r="M105" s="184">
        <f t="shared" si="17"/>
        <v>0.55448899632937187</v>
      </c>
      <c r="N105" s="184">
        <f t="shared" si="17"/>
        <v>0.67305924228130865</v>
      </c>
      <c r="O105" s="184">
        <f t="shared" si="17"/>
        <v>0.62521018618722246</v>
      </c>
      <c r="P105" s="184">
        <f t="shared" si="17"/>
        <v>0.66320069001247883</v>
      </c>
      <c r="Q105" s="268">
        <f t="shared" si="17"/>
        <v>0.65075087041411095</v>
      </c>
      <c r="S105" s="39"/>
      <c r="T105" s="108"/>
      <c r="U105" s="40"/>
    </row>
    <row r="106" spans="1:21" s="3" customFormat="1" ht="25.4" customHeight="1">
      <c r="E106" s="3">
        <v>31</v>
      </c>
      <c r="F106" s="3">
        <v>28</v>
      </c>
      <c r="G106" s="3">
        <v>31</v>
      </c>
      <c r="H106" s="3">
        <v>30</v>
      </c>
      <c r="I106" s="3">
        <v>31</v>
      </c>
      <c r="J106" s="3">
        <v>30</v>
      </c>
      <c r="K106" s="3">
        <v>31</v>
      </c>
      <c r="L106" s="152">
        <v>31</v>
      </c>
      <c r="M106" s="3">
        <v>30</v>
      </c>
      <c r="N106" s="3">
        <v>31</v>
      </c>
      <c r="O106" s="3">
        <v>30</v>
      </c>
      <c r="P106" s="3">
        <v>31</v>
      </c>
      <c r="S106" s="39"/>
      <c r="T106" s="35"/>
      <c r="U106" s="108"/>
    </row>
    <row r="107" spans="1:21" s="3" customFormat="1" ht="25.4" customHeight="1">
      <c r="A107" s="3" t="s">
        <v>98</v>
      </c>
      <c r="B107" s="3" t="s">
        <v>99</v>
      </c>
      <c r="D107" s="185" t="s">
        <v>1072</v>
      </c>
      <c r="E107" s="186">
        <f>E106*$R$107</f>
        <v>4526</v>
      </c>
      <c r="F107" s="186">
        <f t="shared" ref="F107:P107" si="18">F106*$R$107</f>
        <v>4088</v>
      </c>
      <c r="G107" s="186">
        <f t="shared" si="18"/>
        <v>4526</v>
      </c>
      <c r="H107" s="186">
        <f t="shared" si="18"/>
        <v>4380</v>
      </c>
      <c r="I107" s="186">
        <f t="shared" si="18"/>
        <v>4526</v>
      </c>
      <c r="J107" s="186">
        <f t="shared" si="18"/>
        <v>4380</v>
      </c>
      <c r="K107" s="186">
        <f t="shared" si="18"/>
        <v>4526</v>
      </c>
      <c r="L107" s="186">
        <f t="shared" si="18"/>
        <v>4526</v>
      </c>
      <c r="M107" s="186">
        <f t="shared" si="18"/>
        <v>4380</v>
      </c>
      <c r="N107" s="186">
        <f t="shared" si="18"/>
        <v>4526</v>
      </c>
      <c r="O107" s="186">
        <f t="shared" si="18"/>
        <v>4380</v>
      </c>
      <c r="P107" s="186">
        <f t="shared" si="18"/>
        <v>4526</v>
      </c>
      <c r="Q107" s="65">
        <f t="shared" ref="Q107:Q110" si="19">SUM(E107:P107)</f>
        <v>53290</v>
      </c>
      <c r="R107" s="409">
        <v>146</v>
      </c>
      <c r="S107" s="39"/>
      <c r="T107" s="35"/>
      <c r="U107" s="40"/>
    </row>
    <row r="108" spans="1:21" s="3" customFormat="1" ht="25.4" customHeight="1">
      <c r="A108" s="3" t="s">
        <v>279</v>
      </c>
      <c r="B108" s="3" t="s">
        <v>99</v>
      </c>
      <c r="D108" s="185" t="s">
        <v>280</v>
      </c>
      <c r="E108" s="186">
        <v>4526</v>
      </c>
      <c r="F108" s="186">
        <v>4088</v>
      </c>
      <c r="G108" s="186">
        <v>4526</v>
      </c>
      <c r="H108" s="186">
        <v>4380</v>
      </c>
      <c r="I108" s="186">
        <v>4526</v>
      </c>
      <c r="J108" s="186">
        <v>4380</v>
      </c>
      <c r="K108" s="186">
        <v>4526</v>
      </c>
      <c r="L108" s="186">
        <v>4526</v>
      </c>
      <c r="M108" s="186">
        <v>4380</v>
      </c>
      <c r="N108" s="186">
        <v>4526</v>
      </c>
      <c r="O108" s="186">
        <v>4380</v>
      </c>
      <c r="P108" s="186">
        <v>4526</v>
      </c>
      <c r="Q108" s="65">
        <f t="shared" si="19"/>
        <v>53290</v>
      </c>
      <c r="S108" s="39"/>
      <c r="T108" s="35"/>
      <c r="U108" s="40"/>
    </row>
    <row r="109" spans="1:21" s="3" customFormat="1" ht="25.4" customHeight="1">
      <c r="A109" s="3" t="s">
        <v>281</v>
      </c>
      <c r="B109" s="3" t="s">
        <v>99</v>
      </c>
      <c r="D109" s="185" t="s">
        <v>282</v>
      </c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>
        <f t="shared" si="19"/>
        <v>0</v>
      </c>
      <c r="S109" s="39"/>
      <c r="T109" s="35"/>
      <c r="U109" s="40"/>
    </row>
    <row r="110" spans="1:21" s="3" customFormat="1" ht="25.4" customHeight="1">
      <c r="A110" s="3" t="s">
        <v>283</v>
      </c>
      <c r="B110" s="3" t="s">
        <v>99</v>
      </c>
      <c r="D110" s="185" t="s">
        <v>284</v>
      </c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>
        <f t="shared" si="19"/>
        <v>0</v>
      </c>
      <c r="S110" s="39"/>
      <c r="T110" s="35"/>
      <c r="U110" s="40"/>
    </row>
    <row r="111" spans="1:21" s="3" customFormat="1" ht="25.4" customHeight="1">
      <c r="A111" s="3" t="s">
        <v>101</v>
      </c>
      <c r="B111" s="3" t="s">
        <v>99</v>
      </c>
      <c r="D111" s="185" t="s">
        <v>285</v>
      </c>
      <c r="E111" s="186">
        <v>1790</v>
      </c>
      <c r="F111" s="186">
        <v>2528</v>
      </c>
      <c r="G111" s="186">
        <v>1941</v>
      </c>
      <c r="H111" s="186">
        <v>1984</v>
      </c>
      <c r="I111" s="186">
        <v>2233</v>
      </c>
      <c r="J111" s="186">
        <v>1940</v>
      </c>
      <c r="K111" s="186">
        <v>3002</v>
      </c>
      <c r="L111" s="186">
        <v>3199</v>
      </c>
      <c r="M111" s="186">
        <v>1835</v>
      </c>
      <c r="N111" s="186">
        <v>2301</v>
      </c>
      <c r="O111" s="186">
        <v>2194</v>
      </c>
      <c r="P111" s="186">
        <v>2482</v>
      </c>
      <c r="Q111" s="65">
        <f>SUM(E111:P111)</f>
        <v>27429</v>
      </c>
      <c r="S111" s="39"/>
      <c r="T111" s="35"/>
      <c r="U111" s="40"/>
    </row>
    <row r="112" spans="1:21" s="3" customFormat="1" ht="25.4" customHeight="1">
      <c r="A112" s="3" t="s">
        <v>286</v>
      </c>
      <c r="B112" s="3" t="s">
        <v>99</v>
      </c>
      <c r="D112" s="185" t="s">
        <v>287</v>
      </c>
      <c r="E112" s="186">
        <v>90</v>
      </c>
      <c r="F112" s="186">
        <v>30</v>
      </c>
      <c r="G112" s="186">
        <v>50</v>
      </c>
      <c r="H112" s="186">
        <v>50</v>
      </c>
      <c r="I112" s="186">
        <v>50</v>
      </c>
      <c r="J112" s="186">
        <v>50</v>
      </c>
      <c r="K112" s="186">
        <v>50</v>
      </c>
      <c r="L112" s="186">
        <v>50</v>
      </c>
      <c r="M112" s="186">
        <v>50</v>
      </c>
      <c r="N112" s="186">
        <v>50</v>
      </c>
      <c r="O112" s="186">
        <v>50</v>
      </c>
      <c r="P112" s="186">
        <v>50</v>
      </c>
      <c r="Q112" s="65">
        <f>SUM(E112:P112)</f>
        <v>620</v>
      </c>
      <c r="S112" s="39"/>
      <c r="T112" s="35"/>
      <c r="U112" s="40"/>
    </row>
    <row r="113" spans="1:21" s="3" customFormat="1" ht="25.4" customHeight="1">
      <c r="A113" s="3" t="s">
        <v>288</v>
      </c>
      <c r="B113" s="3" t="s">
        <v>99</v>
      </c>
      <c r="D113" s="185" t="s">
        <v>289</v>
      </c>
      <c r="E113" s="186">
        <v>31</v>
      </c>
      <c r="F113" s="186">
        <v>28</v>
      </c>
      <c r="G113" s="186">
        <v>31</v>
      </c>
      <c r="H113" s="186">
        <v>30</v>
      </c>
      <c r="I113" s="186">
        <v>31</v>
      </c>
      <c r="J113" s="186">
        <v>30</v>
      </c>
      <c r="K113" s="186">
        <v>31</v>
      </c>
      <c r="L113" s="186">
        <v>31</v>
      </c>
      <c r="M113" s="186">
        <v>30</v>
      </c>
      <c r="N113" s="186">
        <v>31</v>
      </c>
      <c r="O113" s="186">
        <v>30</v>
      </c>
      <c r="P113" s="186">
        <v>31</v>
      </c>
      <c r="Q113" s="65">
        <f>SUM(E113:P113)</f>
        <v>365</v>
      </c>
      <c r="S113" s="39"/>
      <c r="T113" s="35"/>
      <c r="U113" s="40"/>
    </row>
    <row r="114" spans="1:21" s="3" customFormat="1" ht="25.4" customHeight="1">
      <c r="D114" s="185" t="s">
        <v>290</v>
      </c>
      <c r="E114" s="48">
        <f>E111+E112+E113</f>
        <v>1911</v>
      </c>
      <c r="F114" s="48">
        <f t="shared" ref="F114:P114" si="20">F111+F112+F113</f>
        <v>2586</v>
      </c>
      <c r="G114" s="48">
        <f t="shared" si="20"/>
        <v>2022</v>
      </c>
      <c r="H114" s="48">
        <f t="shared" si="20"/>
        <v>2064</v>
      </c>
      <c r="I114" s="48">
        <f t="shared" si="20"/>
        <v>2314</v>
      </c>
      <c r="J114" s="48">
        <f t="shared" si="20"/>
        <v>2020</v>
      </c>
      <c r="K114" s="48">
        <f t="shared" si="20"/>
        <v>3083</v>
      </c>
      <c r="L114" s="48">
        <f t="shared" si="20"/>
        <v>3280</v>
      </c>
      <c r="M114" s="48">
        <f t="shared" si="20"/>
        <v>1915</v>
      </c>
      <c r="N114" s="48">
        <f t="shared" si="20"/>
        <v>2382</v>
      </c>
      <c r="O114" s="48">
        <f t="shared" si="20"/>
        <v>2274</v>
      </c>
      <c r="P114" s="48">
        <f t="shared" si="20"/>
        <v>2563</v>
      </c>
      <c r="Q114" s="48">
        <f>SUM(E114:P114)</f>
        <v>28414</v>
      </c>
      <c r="S114" s="39"/>
      <c r="T114" s="35"/>
      <c r="U114" s="40"/>
    </row>
    <row r="115" spans="1:21" s="3" customFormat="1" ht="25.4" customHeight="1">
      <c r="D115" s="185" t="s">
        <v>291</v>
      </c>
      <c r="E115" s="187">
        <f>IF(E114=0,0,E114/E$107)</f>
        <v>0.42222713212549712</v>
      </c>
      <c r="F115" s="187">
        <f t="shared" ref="F115:P115" si="21">IF(F114=0,0,F114/F$107)</f>
        <v>0.63258317025440314</v>
      </c>
      <c r="G115" s="187">
        <f t="shared" si="21"/>
        <v>0.44675209898365004</v>
      </c>
      <c r="H115" s="187">
        <f t="shared" si="21"/>
        <v>0.47123287671232877</v>
      </c>
      <c r="I115" s="187">
        <f t="shared" si="21"/>
        <v>0.5112682280159081</v>
      </c>
      <c r="J115" s="187">
        <f t="shared" si="21"/>
        <v>0.46118721461187212</v>
      </c>
      <c r="K115" s="187">
        <f t="shared" si="21"/>
        <v>0.68117543084401233</v>
      </c>
      <c r="L115" s="187">
        <f t="shared" si="21"/>
        <v>0.72470172337604954</v>
      </c>
      <c r="M115" s="187">
        <f t="shared" si="21"/>
        <v>0.43721461187214611</v>
      </c>
      <c r="N115" s="187">
        <f t="shared" si="21"/>
        <v>0.5262925320371189</v>
      </c>
      <c r="O115" s="187">
        <f t="shared" si="21"/>
        <v>0.51917808219178085</v>
      </c>
      <c r="P115" s="187">
        <f t="shared" si="21"/>
        <v>0.56628369421122404</v>
      </c>
      <c r="Q115" s="187">
        <f>IF(Q114=0,0,Q114/Q$107)</f>
        <v>0.53319572152373806</v>
      </c>
      <c r="S115" s="39"/>
      <c r="T115" s="108"/>
      <c r="U115" s="40"/>
    </row>
    <row r="116" spans="1:21" s="3" customFormat="1" ht="25.4" customHeight="1">
      <c r="D116" s="185" t="s">
        <v>292</v>
      </c>
      <c r="E116" s="187">
        <f>IF(E111=0,0,E111/E$107)</f>
        <v>0.39549270879363674</v>
      </c>
      <c r="F116" s="187">
        <f t="shared" ref="F116:Q116" si="22">IF(F111=0,0,F111/F$107)</f>
        <v>0.61839530332681014</v>
      </c>
      <c r="G116" s="187">
        <f t="shared" si="22"/>
        <v>0.42885550154661956</v>
      </c>
      <c r="H116" s="187">
        <f t="shared" si="22"/>
        <v>0.45296803652968037</v>
      </c>
      <c r="I116" s="187">
        <f t="shared" si="22"/>
        <v>0.49337163057887762</v>
      </c>
      <c r="J116" s="187">
        <f t="shared" si="22"/>
        <v>0.44292237442922372</v>
      </c>
      <c r="K116" s="187">
        <f t="shared" si="22"/>
        <v>0.6632788334069819</v>
      </c>
      <c r="L116" s="187">
        <f t="shared" si="22"/>
        <v>0.70680512593901901</v>
      </c>
      <c r="M116" s="187">
        <f t="shared" si="22"/>
        <v>0.41894977168949771</v>
      </c>
      <c r="N116" s="187">
        <f t="shared" si="22"/>
        <v>0.50839593460008836</v>
      </c>
      <c r="O116" s="187">
        <f t="shared" si="22"/>
        <v>0.50091324200913245</v>
      </c>
      <c r="P116" s="187">
        <f t="shared" si="22"/>
        <v>0.54838709677419351</v>
      </c>
      <c r="Q116" s="260">
        <f t="shared" si="22"/>
        <v>0.51471195346218801</v>
      </c>
      <c r="S116" s="39"/>
      <c r="T116" s="108"/>
      <c r="U116" s="40"/>
    </row>
    <row r="117" spans="1:21" s="3" customFormat="1" ht="25.4" customHeight="1">
      <c r="D117" s="185" t="s">
        <v>104</v>
      </c>
      <c r="E117" s="188">
        <f t="shared" ref="E117:Q117" si="23">E20/E111</f>
        <v>1952.7494972067041</v>
      </c>
      <c r="F117" s="188">
        <f t="shared" si="23"/>
        <v>2329.2878560126583</v>
      </c>
      <c r="G117" s="188">
        <f t="shared" si="23"/>
        <v>1321.4394641937147</v>
      </c>
      <c r="H117" s="188">
        <f t="shared" si="23"/>
        <v>1333.0924395161289</v>
      </c>
      <c r="I117" s="188">
        <f t="shared" si="23"/>
        <v>1663.5729064039408</v>
      </c>
      <c r="J117" s="188">
        <f t="shared" si="23"/>
        <v>1348.2853092783505</v>
      </c>
      <c r="K117" s="188">
        <f t="shared" si="23"/>
        <v>1453.3777481678881</v>
      </c>
      <c r="L117" s="188">
        <f t="shared" si="23"/>
        <v>1506.3810565801814</v>
      </c>
      <c r="M117" s="188">
        <f t="shared" si="23"/>
        <v>1375.9111716621253</v>
      </c>
      <c r="N117" s="188">
        <f t="shared" si="23"/>
        <v>1806.0800086918732</v>
      </c>
      <c r="O117" s="188">
        <f t="shared" si="23"/>
        <v>1482.3838650865998</v>
      </c>
      <c r="P117" s="188">
        <f t="shared" si="23"/>
        <v>1577.6756647864624</v>
      </c>
      <c r="Q117" s="188">
        <f t="shared" si="23"/>
        <v>1602.491662109446</v>
      </c>
      <c r="S117" s="39"/>
      <c r="T117" s="35"/>
      <c r="U117" s="40"/>
    </row>
    <row r="118" spans="1:21" s="3" customFormat="1" ht="25.4" customHeight="1">
      <c r="D118" s="185" t="s">
        <v>293</v>
      </c>
      <c r="E118" s="188">
        <f>E20/E107</f>
        <v>772.29818824569156</v>
      </c>
      <c r="F118" s="188">
        <f t="shared" ref="F118:Q118" si="24">F20/F107</f>
        <v>1440.4206702544031</v>
      </c>
      <c r="G118" s="188">
        <f t="shared" si="24"/>
        <v>566.70658418029166</v>
      </c>
      <c r="H118" s="188">
        <f t="shared" si="24"/>
        <v>603.84826484018265</v>
      </c>
      <c r="I118" s="188">
        <f t="shared" si="24"/>
        <v>820.75967741935483</v>
      </c>
      <c r="J118" s="188">
        <f t="shared" si="24"/>
        <v>597.18573059360733</v>
      </c>
      <c r="K118" s="188">
        <f t="shared" si="24"/>
        <v>963.9946973044631</v>
      </c>
      <c r="L118" s="188">
        <f t="shared" si="24"/>
        <v>1064.7178524083076</v>
      </c>
      <c r="M118" s="188">
        <f t="shared" si="24"/>
        <v>576.43767123287671</v>
      </c>
      <c r="N118" s="188">
        <f t="shared" si="24"/>
        <v>918.20373398144056</v>
      </c>
      <c r="O118" s="188">
        <f t="shared" si="24"/>
        <v>742.54570776255707</v>
      </c>
      <c r="P118" s="188">
        <f t="shared" si="24"/>
        <v>865.17697746354395</v>
      </c>
      <c r="Q118" s="188">
        <f t="shared" si="24"/>
        <v>824.8216138112216</v>
      </c>
      <c r="S118" s="39"/>
      <c r="T118" s="35"/>
      <c r="U118" s="40"/>
    </row>
    <row r="119" spans="1:21" s="3" customFormat="1" ht="25.4" customHeight="1">
      <c r="D119" s="185" t="s">
        <v>294</v>
      </c>
      <c r="E119" s="189">
        <f>IF(E114=0,0,ROUND((E156+E103)/E114,2))</f>
        <v>642.32000000000005</v>
      </c>
      <c r="F119" s="189">
        <f t="shared" ref="F119:Q119" si="25">IF(F114=0,0,ROUND((F156+F103)/F114,2))</f>
        <v>548.4</v>
      </c>
      <c r="G119" s="189">
        <f t="shared" si="25"/>
        <v>563.61</v>
      </c>
      <c r="H119" s="189">
        <f t="shared" si="25"/>
        <v>565.96</v>
      </c>
      <c r="I119" s="189">
        <f t="shared" si="25"/>
        <v>557.67999999999995</v>
      </c>
      <c r="J119" s="189">
        <f t="shared" si="25"/>
        <v>564.65</v>
      </c>
      <c r="K119" s="189">
        <f t="shared" si="25"/>
        <v>467.97</v>
      </c>
      <c r="L119" s="189">
        <f t="shared" si="25"/>
        <v>458.13</v>
      </c>
      <c r="M119" s="189">
        <f t="shared" si="25"/>
        <v>587.38</v>
      </c>
      <c r="N119" s="189">
        <f t="shared" si="25"/>
        <v>570.4</v>
      </c>
      <c r="O119" s="189">
        <f t="shared" si="25"/>
        <v>536.04</v>
      </c>
      <c r="P119" s="189">
        <f t="shared" si="25"/>
        <v>514.57000000000005</v>
      </c>
      <c r="Q119" s="189">
        <f t="shared" si="25"/>
        <v>540.27</v>
      </c>
      <c r="S119" s="39"/>
      <c r="T119" s="35"/>
      <c r="U119" s="40"/>
    </row>
    <row r="120" spans="1:21" s="3" customFormat="1" ht="25.4" customHeight="1">
      <c r="L120" s="152"/>
      <c r="S120" s="39"/>
      <c r="T120" s="35"/>
      <c r="U120" s="108"/>
    </row>
    <row r="121" spans="1:21" s="3" customFormat="1" ht="25.4" customHeight="1">
      <c r="D121" s="19" t="s">
        <v>295</v>
      </c>
      <c r="L121" s="152"/>
      <c r="S121" s="39"/>
      <c r="T121" s="35"/>
      <c r="U121" s="108"/>
    </row>
    <row r="122" spans="1:21" s="3" customFormat="1" ht="25.4" customHeight="1">
      <c r="D122" s="19" t="s">
        <v>296</v>
      </c>
      <c r="L122" s="152"/>
      <c r="S122" s="39"/>
      <c r="T122" s="35"/>
      <c r="U122" s="108"/>
    </row>
    <row r="123" spans="1:21" s="3" customFormat="1" ht="25.4" customHeight="1">
      <c r="A123" s="3" t="s">
        <v>297</v>
      </c>
      <c r="B123" s="171" t="s">
        <v>298</v>
      </c>
      <c r="D123" s="3" t="s">
        <v>299</v>
      </c>
      <c r="E123" s="63">
        <f>'Front Office'!E86+HSKP!E86+Reservation!E86+'ROOMS Admin'!E86</f>
        <v>110240</v>
      </c>
      <c r="F123" s="63">
        <f>'Front Office'!F86+HSKP!F86+Reservation!F86+'ROOMS Admin'!F86</f>
        <v>110240</v>
      </c>
      <c r="G123" s="63">
        <f>'Front Office'!G86+HSKP!G86+Reservation!G86+'ROOMS Admin'!G86</f>
        <v>110240</v>
      </c>
      <c r="H123" s="63">
        <f>'Front Office'!H86+HSKP!H86+Reservation!H86+'ROOMS Admin'!H86</f>
        <v>110240</v>
      </c>
      <c r="I123" s="63">
        <f>'Front Office'!I86+HSKP!I86+Reservation!I86+'ROOMS Admin'!I86</f>
        <v>110240</v>
      </c>
      <c r="J123" s="63">
        <f>'Front Office'!J86+HSKP!J86+Reservation!J86+'ROOMS Admin'!J86</f>
        <v>110240</v>
      </c>
      <c r="K123" s="63">
        <f>'Front Office'!K86+HSKP!K86+Reservation!K86+'ROOMS Admin'!K86</f>
        <v>110240</v>
      </c>
      <c r="L123" s="63">
        <f>'Front Office'!L86+HSKP!L86+Reservation!L86+'ROOMS Admin'!L86</f>
        <v>110240</v>
      </c>
      <c r="M123" s="63">
        <f>'Front Office'!M86+HSKP!M86+Reservation!M86+'ROOMS Admin'!M86</f>
        <v>110240</v>
      </c>
      <c r="N123" s="63">
        <f>'Front Office'!N86+HSKP!N86+Reservation!N86+'ROOMS Admin'!N86</f>
        <v>110240</v>
      </c>
      <c r="O123" s="63">
        <f>'Front Office'!O86+HSKP!O86+Reservation!O86+'ROOMS Admin'!O86</f>
        <v>110240</v>
      </c>
      <c r="P123" s="63">
        <f>'Front Office'!P86+HSKP!P86+Reservation!P86+'ROOMS Admin'!P86</f>
        <v>110240</v>
      </c>
      <c r="Q123" s="61">
        <f>SUM(E123:P123)</f>
        <v>1322880</v>
      </c>
      <c r="R123" s="3">
        <f>Q123/$Q$111</f>
        <v>48.229246418024715</v>
      </c>
      <c r="T123" s="35"/>
      <c r="U123" s="40"/>
    </row>
    <row r="124" spans="1:21" s="3" customFormat="1" ht="25.4" customHeight="1">
      <c r="A124" s="50" t="s">
        <v>300</v>
      </c>
      <c r="B124" s="171" t="s">
        <v>301</v>
      </c>
      <c r="D124" s="3" t="s">
        <v>302</v>
      </c>
      <c r="E124" s="63">
        <f>'Front Office'!E87</f>
        <v>91900</v>
      </c>
      <c r="F124" s="63">
        <f>'Front Office'!F87</f>
        <v>91900</v>
      </c>
      <c r="G124" s="63">
        <f>'Front Office'!G87</f>
        <v>91900</v>
      </c>
      <c r="H124" s="63">
        <f>'Front Office'!H87</f>
        <v>94900</v>
      </c>
      <c r="I124" s="63">
        <f>'Front Office'!I87</f>
        <v>94900</v>
      </c>
      <c r="J124" s="63">
        <f>'Front Office'!J87</f>
        <v>94900</v>
      </c>
      <c r="K124" s="63">
        <f>'Front Office'!K87</f>
        <v>94900</v>
      </c>
      <c r="L124" s="63">
        <f>'Front Office'!L87</f>
        <v>94900</v>
      </c>
      <c r="M124" s="63">
        <f>'Front Office'!M87</f>
        <v>94900</v>
      </c>
      <c r="N124" s="63">
        <f>'Front Office'!N87</f>
        <v>94900</v>
      </c>
      <c r="O124" s="63">
        <f>'Front Office'!O87</f>
        <v>94900</v>
      </c>
      <c r="P124" s="63">
        <f>'Front Office'!P87</f>
        <v>94900</v>
      </c>
      <c r="Q124" s="61">
        <f>SUM(E124:P124)</f>
        <v>1129800</v>
      </c>
      <c r="R124" s="3">
        <f>Q124/$Q$111</f>
        <v>41.189981406540525</v>
      </c>
      <c r="T124" s="35"/>
      <c r="U124" s="40"/>
    </row>
    <row r="125" spans="1:21" s="3" customFormat="1" ht="25.4" customHeight="1">
      <c r="A125" s="50" t="s">
        <v>300</v>
      </c>
      <c r="B125" s="171" t="s">
        <v>303</v>
      </c>
      <c r="D125" s="3" t="s">
        <v>304</v>
      </c>
      <c r="E125" s="63">
        <f>HSKP!E87</f>
        <v>59000</v>
      </c>
      <c r="F125" s="63">
        <f>HSKP!F87</f>
        <v>59000</v>
      </c>
      <c r="G125" s="63">
        <f>HSKP!G87</f>
        <v>59000</v>
      </c>
      <c r="H125" s="63">
        <f>HSKP!H87</f>
        <v>59000</v>
      </c>
      <c r="I125" s="63">
        <f>HSKP!I87</f>
        <v>59000</v>
      </c>
      <c r="J125" s="63">
        <f>HSKP!J87</f>
        <v>59000</v>
      </c>
      <c r="K125" s="63">
        <f>HSKP!K87</f>
        <v>62800</v>
      </c>
      <c r="L125" s="63">
        <f>HSKP!L87</f>
        <v>62800</v>
      </c>
      <c r="M125" s="63">
        <f>HSKP!M87</f>
        <v>62800</v>
      </c>
      <c r="N125" s="63">
        <f>HSKP!N87</f>
        <v>62800</v>
      </c>
      <c r="O125" s="63">
        <f>HSKP!O87</f>
        <v>62800</v>
      </c>
      <c r="P125" s="63">
        <f>HSKP!P87</f>
        <v>62800</v>
      </c>
      <c r="Q125" s="61">
        <f>SUM(E125:P125)</f>
        <v>730800</v>
      </c>
      <c r="R125" s="3">
        <f>Q125/$Q$111</f>
        <v>26.643333697910972</v>
      </c>
      <c r="T125" s="35"/>
      <c r="U125" s="40"/>
    </row>
    <row r="126" spans="1:21" s="3" customFormat="1" ht="25.4" customHeight="1">
      <c r="A126" s="50" t="s">
        <v>300</v>
      </c>
      <c r="B126" s="171" t="s">
        <v>305</v>
      </c>
      <c r="D126" s="3" t="s">
        <v>306</v>
      </c>
      <c r="E126" s="63">
        <f>Reservation!E87</f>
        <v>16800</v>
      </c>
      <c r="F126" s="63">
        <f>Reservation!F87</f>
        <v>16800</v>
      </c>
      <c r="G126" s="63">
        <f>Reservation!G87</f>
        <v>16800</v>
      </c>
      <c r="H126" s="63">
        <f>Reservation!H87</f>
        <v>16800</v>
      </c>
      <c r="I126" s="63">
        <f>Reservation!I87</f>
        <v>16800</v>
      </c>
      <c r="J126" s="63">
        <f>Reservation!J87</f>
        <v>16800</v>
      </c>
      <c r="K126" s="63">
        <f>Reservation!K87</f>
        <v>16800</v>
      </c>
      <c r="L126" s="63">
        <f>Reservation!L87</f>
        <v>16800</v>
      </c>
      <c r="M126" s="63">
        <f>Reservation!M87</f>
        <v>16800</v>
      </c>
      <c r="N126" s="63">
        <f>Reservation!N87</f>
        <v>16800</v>
      </c>
      <c r="O126" s="63">
        <f>Reservation!O87</f>
        <v>16800</v>
      </c>
      <c r="P126" s="63">
        <f>Reservation!P87</f>
        <v>16800</v>
      </c>
      <c r="Q126" s="61">
        <f>SUM(E126:P126)</f>
        <v>201600</v>
      </c>
      <c r="R126" s="3">
        <f>Q126/$Q$111</f>
        <v>7.3498851580444056</v>
      </c>
      <c r="T126" s="35"/>
      <c r="U126" s="40"/>
    </row>
    <row r="127" spans="1:21" s="3" customFormat="1" ht="25.4" customHeight="1">
      <c r="D127" s="19" t="s">
        <v>307</v>
      </c>
      <c r="E127" s="151">
        <f>SUM(E123:E126)</f>
        <v>277940</v>
      </c>
      <c r="F127" s="151">
        <f t="shared" ref="F127:Q127" si="26">SUM(F123:F126)</f>
        <v>277940</v>
      </c>
      <c r="G127" s="151">
        <f t="shared" si="26"/>
        <v>277940</v>
      </c>
      <c r="H127" s="151">
        <f t="shared" si="26"/>
        <v>280940</v>
      </c>
      <c r="I127" s="151">
        <f t="shared" si="26"/>
        <v>280940</v>
      </c>
      <c r="J127" s="151">
        <f t="shared" si="26"/>
        <v>280940</v>
      </c>
      <c r="K127" s="151">
        <f t="shared" si="26"/>
        <v>284740</v>
      </c>
      <c r="L127" s="151">
        <f t="shared" si="26"/>
        <v>284740</v>
      </c>
      <c r="M127" s="151">
        <f t="shared" si="26"/>
        <v>284740</v>
      </c>
      <c r="N127" s="151">
        <f t="shared" si="26"/>
        <v>284740</v>
      </c>
      <c r="O127" s="151">
        <f t="shared" si="26"/>
        <v>284740</v>
      </c>
      <c r="P127" s="151">
        <f t="shared" si="26"/>
        <v>284740</v>
      </c>
      <c r="Q127" s="151">
        <f t="shared" si="26"/>
        <v>3385080</v>
      </c>
      <c r="R127" s="3">
        <f>Q127/$Q$111</f>
        <v>123.41244668052062</v>
      </c>
      <c r="T127" s="35"/>
      <c r="U127" s="40"/>
    </row>
    <row r="128" spans="1:21" s="3" customFormat="1" ht="25.4" customHeight="1">
      <c r="L128" s="152"/>
      <c r="T128" s="35"/>
      <c r="U128" s="108"/>
    </row>
    <row r="129" spans="1:21" s="3" customFormat="1" ht="25.4" customHeight="1">
      <c r="A129" s="3" t="s">
        <v>308</v>
      </c>
      <c r="B129" s="50" t="s">
        <v>298</v>
      </c>
      <c r="D129" s="26" t="s">
        <v>309</v>
      </c>
      <c r="E129" s="63">
        <f>'Front Office'!E90+HSKP!E90+Reservation!E90+'ROOMS Admin'!E90</f>
        <v>46262.14</v>
      </c>
      <c r="F129" s="63">
        <f>'Front Office'!F90+HSKP!F90+Reservation!F90+'ROOMS Admin'!F90</f>
        <v>0</v>
      </c>
      <c r="G129" s="63">
        <f>'Front Office'!G90+HSKP!G90+Reservation!G90+'ROOMS Admin'!G90</f>
        <v>0</v>
      </c>
      <c r="H129" s="63">
        <f>'Front Office'!H90+HSKP!H90+Reservation!H90+'ROOMS Admin'!H90</f>
        <v>14126.89</v>
      </c>
      <c r="I129" s="63">
        <f>'Front Office'!I90+HSKP!I90+Reservation!I90+'ROOMS Admin'!I90</f>
        <v>23544.799999999999</v>
      </c>
      <c r="J129" s="63">
        <f>'Front Office'!J90+HSKP!J90+Reservation!J90+'ROOMS Admin'!J90</f>
        <v>0</v>
      </c>
      <c r="K129" s="63">
        <f>'Front Office'!K90+HSKP!K90+Reservation!K90+'ROOMS Admin'!K90</f>
        <v>0</v>
      </c>
      <c r="L129" s="63">
        <f>'Front Office'!L90+HSKP!L90+Reservation!L90+'ROOMS Admin'!L90</f>
        <v>0</v>
      </c>
      <c r="M129" s="63">
        <f>'Front Office'!M90+HSKP!M90+Reservation!M90+'ROOMS Admin'!M90</f>
        <v>0</v>
      </c>
      <c r="N129" s="63">
        <f>'Front Office'!N90+HSKP!N90+Reservation!N90+'ROOMS Admin'!N90</f>
        <v>48138.01</v>
      </c>
      <c r="O129" s="63">
        <f>'Front Office'!O90+HSKP!O90+Reservation!O90+'ROOMS Admin'!O90</f>
        <v>0</v>
      </c>
      <c r="P129" s="63">
        <f>'Front Office'!P90+HSKP!P90+Reservation!P90+'ROOMS Admin'!P90</f>
        <v>0</v>
      </c>
      <c r="Q129" s="61">
        <f t="shared" ref="Q129:Q135" si="27">SUM(E129:P129)</f>
        <v>132071.84</v>
      </c>
      <c r="R129" s="3">
        <f t="shared" ref="R129:R136" si="28">Q129/$Q$111</f>
        <v>4.8150439316052349</v>
      </c>
      <c r="T129" s="35"/>
      <c r="U129" s="40"/>
    </row>
    <row r="130" spans="1:21" s="3" customFormat="1" ht="25.4" customHeight="1">
      <c r="A130" s="3" t="s">
        <v>310</v>
      </c>
      <c r="B130" s="50" t="s">
        <v>298</v>
      </c>
      <c r="D130" s="26" t="s">
        <v>311</v>
      </c>
      <c r="E130" s="63">
        <f>'Front Office'!E91+HSKP!E91+Reservation!E91+'ROOMS Admin'!E91</f>
        <v>3474.25</v>
      </c>
      <c r="F130" s="63">
        <f>'Front Office'!F91+HSKP!F91+Reservation!F91+'ROOMS Admin'!F91</f>
        <v>3474.25</v>
      </c>
      <c r="G130" s="63">
        <f>'Front Office'!G91+HSKP!G91+Reservation!G91+'ROOMS Admin'!G91</f>
        <v>3474.25</v>
      </c>
      <c r="H130" s="63">
        <f>'Front Office'!H91+HSKP!H91+Reservation!H91+'ROOMS Admin'!H91</f>
        <v>3511.75</v>
      </c>
      <c r="I130" s="63">
        <f>'Front Office'!I91+HSKP!I91+Reservation!I91+'ROOMS Admin'!I91</f>
        <v>3511.75</v>
      </c>
      <c r="J130" s="63">
        <f>'Front Office'!J91+HSKP!J91+Reservation!J91+'ROOMS Admin'!J91</f>
        <v>3511.75</v>
      </c>
      <c r="K130" s="63">
        <f>'Front Office'!K91+HSKP!K91+Reservation!K91+'ROOMS Admin'!K91</f>
        <v>3559.25</v>
      </c>
      <c r="L130" s="63">
        <f>'Front Office'!L91+HSKP!L91+Reservation!L91+'ROOMS Admin'!L91</f>
        <v>3559.25</v>
      </c>
      <c r="M130" s="63">
        <f>'Front Office'!M91+HSKP!M91+Reservation!M91+'ROOMS Admin'!M91</f>
        <v>3559.25</v>
      </c>
      <c r="N130" s="63">
        <f>'Front Office'!N91+HSKP!N91+Reservation!N91+'ROOMS Admin'!N91</f>
        <v>3559.25</v>
      </c>
      <c r="O130" s="63">
        <f>'Front Office'!O91+HSKP!O91+Reservation!O91+'ROOMS Admin'!O91</f>
        <v>3559.25</v>
      </c>
      <c r="P130" s="63">
        <f>'Front Office'!P91+HSKP!P91+Reservation!P91+'ROOMS Admin'!P91</f>
        <v>3559.27</v>
      </c>
      <c r="Q130" s="61">
        <f t="shared" si="27"/>
        <v>42313.52</v>
      </c>
      <c r="R130" s="3">
        <f t="shared" si="28"/>
        <v>1.5426563126617812</v>
      </c>
      <c r="T130" s="35"/>
      <c r="U130" s="40"/>
    </row>
    <row r="131" spans="1:21" s="3" customFormat="1" ht="25.4" customHeight="1">
      <c r="A131" s="3" t="s">
        <v>312</v>
      </c>
      <c r="B131" s="50" t="s">
        <v>298</v>
      </c>
      <c r="D131" s="26" t="s">
        <v>313</v>
      </c>
      <c r="E131" s="63">
        <f>'Front Office'!E92+HSKP!E92+Reservation!E92+'ROOMS Admin'!E92</f>
        <v>7400</v>
      </c>
      <c r="F131" s="63">
        <f>'Front Office'!F92+HSKP!F92+Reservation!F92+'ROOMS Admin'!F92</f>
        <v>7400</v>
      </c>
      <c r="G131" s="63">
        <f>'Front Office'!G92+HSKP!G92+Reservation!G92+'ROOMS Admin'!G92</f>
        <v>7400</v>
      </c>
      <c r="H131" s="63">
        <f>'Front Office'!H92+HSKP!H92+Reservation!H92+'ROOMS Admin'!H92</f>
        <v>7400</v>
      </c>
      <c r="I131" s="63">
        <f>'Front Office'!I92+HSKP!I92+Reservation!I92+'ROOMS Admin'!I92</f>
        <v>7400</v>
      </c>
      <c r="J131" s="63">
        <f>'Front Office'!J92+HSKP!J92+Reservation!J92+'ROOMS Admin'!J92</f>
        <v>7400</v>
      </c>
      <c r="K131" s="63">
        <f>'Front Office'!K92+HSKP!K92+Reservation!K92+'ROOMS Admin'!K92</f>
        <v>7400</v>
      </c>
      <c r="L131" s="63">
        <f>'Front Office'!L92+HSKP!L92+Reservation!L92+'ROOMS Admin'!L92</f>
        <v>7400</v>
      </c>
      <c r="M131" s="63">
        <f>'Front Office'!M92+HSKP!M92+Reservation!M92+'ROOMS Admin'!M92</f>
        <v>7400</v>
      </c>
      <c r="N131" s="63">
        <f>'Front Office'!N92+HSKP!N92+Reservation!N92+'ROOMS Admin'!N92</f>
        <v>7400</v>
      </c>
      <c r="O131" s="63">
        <f>'Front Office'!O92+HSKP!O92+Reservation!O92+'ROOMS Admin'!O92</f>
        <v>7400</v>
      </c>
      <c r="P131" s="63">
        <f>'Front Office'!P92+HSKP!P92+Reservation!P92+'ROOMS Admin'!P92</f>
        <v>7400</v>
      </c>
      <c r="Q131" s="61">
        <f t="shared" si="27"/>
        <v>88800</v>
      </c>
      <c r="R131" s="3">
        <f t="shared" si="28"/>
        <v>3.2374494148528927</v>
      </c>
      <c r="T131" s="35"/>
      <c r="U131" s="40"/>
    </row>
    <row r="132" spans="1:21" s="3" customFormat="1" ht="25.4" customHeight="1">
      <c r="A132" s="3" t="s">
        <v>314</v>
      </c>
      <c r="B132" s="50" t="s">
        <v>298</v>
      </c>
      <c r="D132" s="26" t="s">
        <v>315</v>
      </c>
      <c r="E132" s="63">
        <f>'Front Office'!E93+HSKP!E93+Reservation!E93+'ROOMS Admin'!E93</f>
        <v>0</v>
      </c>
      <c r="F132" s="63">
        <f>'Front Office'!F93+HSKP!F93+Reservation!F93+'ROOMS Admin'!F93</f>
        <v>0</v>
      </c>
      <c r="G132" s="63">
        <f>'Front Office'!G93+HSKP!G93+Reservation!G93+'ROOMS Admin'!G93</f>
        <v>0</v>
      </c>
      <c r="H132" s="63">
        <f>'Front Office'!H93+HSKP!H93+Reservation!H93+'ROOMS Admin'!H93</f>
        <v>0</v>
      </c>
      <c r="I132" s="63">
        <f>'Front Office'!I93+HSKP!I93+Reservation!I93+'ROOMS Admin'!I93</f>
        <v>0</v>
      </c>
      <c r="J132" s="63">
        <f>'Front Office'!J93+HSKP!J93+Reservation!J93+'ROOMS Admin'!J93</f>
        <v>0</v>
      </c>
      <c r="K132" s="63">
        <f>'Front Office'!K93+HSKP!K93+Reservation!K93+'ROOMS Admin'!K93</f>
        <v>0</v>
      </c>
      <c r="L132" s="63">
        <f>'Front Office'!L93+HSKP!L93+Reservation!L93+'ROOMS Admin'!L93</f>
        <v>0</v>
      </c>
      <c r="M132" s="63">
        <f>'Front Office'!M93+HSKP!M93+Reservation!M93+'ROOMS Admin'!M93</f>
        <v>0</v>
      </c>
      <c r="N132" s="63">
        <f>'Front Office'!N93+HSKP!N93+Reservation!N93+'ROOMS Admin'!N93</f>
        <v>0</v>
      </c>
      <c r="O132" s="63">
        <f>'Front Office'!O93+HSKP!O93+Reservation!O93+'ROOMS Admin'!O93</f>
        <v>0</v>
      </c>
      <c r="P132" s="63">
        <f>'Front Office'!P93+HSKP!P93+Reservation!P93+'ROOMS Admin'!P93</f>
        <v>0</v>
      </c>
      <c r="Q132" s="61">
        <f t="shared" si="27"/>
        <v>0</v>
      </c>
      <c r="R132" s="3">
        <f t="shared" ref="R132:R133" si="29">Q132/$Q$111</f>
        <v>0</v>
      </c>
      <c r="T132" s="35"/>
      <c r="U132" s="108"/>
    </row>
    <row r="133" spans="1:21" s="3" customFormat="1" ht="25.4" customHeight="1">
      <c r="A133" s="3" t="s">
        <v>316</v>
      </c>
      <c r="B133" s="50" t="s">
        <v>298</v>
      </c>
      <c r="D133" s="26" t="s">
        <v>317</v>
      </c>
      <c r="E133" s="63">
        <f>'Front Office'!E94+HSKP!E94+Reservation!E94+'ROOMS Admin'!E94</f>
        <v>0</v>
      </c>
      <c r="F133" s="63">
        <f>'Front Office'!F94+HSKP!F94+Reservation!F94+'ROOMS Admin'!F94</f>
        <v>0</v>
      </c>
      <c r="G133" s="63">
        <f>'Front Office'!G94+HSKP!G94+Reservation!G94+'ROOMS Admin'!G94</f>
        <v>0</v>
      </c>
      <c r="H133" s="63">
        <f>'Front Office'!H94+HSKP!H94+Reservation!H94+'ROOMS Admin'!H94</f>
        <v>0</v>
      </c>
      <c r="I133" s="63">
        <f>'Front Office'!I94+HSKP!I94+Reservation!I94+'ROOMS Admin'!I94</f>
        <v>0</v>
      </c>
      <c r="J133" s="63">
        <f>'Front Office'!J94+HSKP!J94+Reservation!J94+'ROOMS Admin'!J94</f>
        <v>0</v>
      </c>
      <c r="K133" s="63">
        <f>'Front Office'!K94+HSKP!K94+Reservation!K94+'ROOMS Admin'!K94</f>
        <v>0</v>
      </c>
      <c r="L133" s="63">
        <f>'Front Office'!L94+HSKP!L94+Reservation!L94+'ROOMS Admin'!L94</f>
        <v>0</v>
      </c>
      <c r="M133" s="63">
        <f>'Front Office'!M94+HSKP!M94+Reservation!M94+'ROOMS Admin'!M94</f>
        <v>0</v>
      </c>
      <c r="N133" s="63">
        <f>'Front Office'!N94+HSKP!N94+Reservation!N94+'ROOMS Admin'!N94</f>
        <v>0</v>
      </c>
      <c r="O133" s="63">
        <f>'Front Office'!O94+HSKP!O94+Reservation!O94+'ROOMS Admin'!O94</f>
        <v>0</v>
      </c>
      <c r="P133" s="63">
        <f>'Front Office'!P94+HSKP!P94+Reservation!P94+'ROOMS Admin'!P94</f>
        <v>0</v>
      </c>
      <c r="Q133" s="61">
        <f t="shared" si="27"/>
        <v>0</v>
      </c>
      <c r="R133" s="3">
        <f t="shared" si="29"/>
        <v>0</v>
      </c>
      <c r="T133" s="35"/>
      <c r="U133" s="40"/>
    </row>
    <row r="134" spans="1:21" s="3" customFormat="1" ht="25.4" customHeight="1">
      <c r="A134" s="3" t="s">
        <v>1066</v>
      </c>
      <c r="B134" s="50" t="s">
        <v>298</v>
      </c>
      <c r="D134" s="26" t="s">
        <v>1207</v>
      </c>
      <c r="E134" s="63">
        <f>'Front Office'!E95+HSKP!E95</f>
        <v>0</v>
      </c>
      <c r="F134" s="63">
        <f>'Front Office'!F95+HSKP!F95</f>
        <v>0</v>
      </c>
      <c r="G134" s="63">
        <f>'Front Office'!G95+HSKP!G95</f>
        <v>0</v>
      </c>
      <c r="H134" s="63">
        <f>'Front Office'!H95+HSKP!H95</f>
        <v>0</v>
      </c>
      <c r="I134" s="63">
        <f>'Front Office'!I95+HSKP!I95</f>
        <v>0</v>
      </c>
      <c r="J134" s="63">
        <f>'Front Office'!J95+HSKP!J95</f>
        <v>0</v>
      </c>
      <c r="K134" s="63">
        <f>'Front Office'!K95+HSKP!K95</f>
        <v>0</v>
      </c>
      <c r="L134" s="63">
        <f>'Front Office'!L95+HSKP!L95</f>
        <v>0</v>
      </c>
      <c r="M134" s="63">
        <f>'Front Office'!M95+HSKP!M95</f>
        <v>0</v>
      </c>
      <c r="N134" s="63">
        <f>'Front Office'!N95+HSKP!N95</f>
        <v>0</v>
      </c>
      <c r="O134" s="63">
        <f>'Front Office'!O95+HSKP!O95</f>
        <v>0</v>
      </c>
      <c r="P134" s="63">
        <f>'Front Office'!P95+HSKP!P95</f>
        <v>0</v>
      </c>
      <c r="Q134" s="61">
        <f t="shared" si="27"/>
        <v>0</v>
      </c>
      <c r="R134" s="3">
        <f t="shared" si="28"/>
        <v>0</v>
      </c>
      <c r="T134" s="35"/>
      <c r="U134" s="108"/>
    </row>
    <row r="135" spans="1:21" s="3" customFormat="1" ht="25.4" customHeight="1">
      <c r="A135" s="3" t="s">
        <v>1066</v>
      </c>
      <c r="B135" s="50" t="s">
        <v>298</v>
      </c>
      <c r="D135" s="26" t="s">
        <v>1070</v>
      </c>
      <c r="E135" s="63">
        <f>'Front Office'!E96+HSKP!E96+Reservation!E96+'ROOMS Admin'!E96</f>
        <v>187042.25</v>
      </c>
      <c r="F135" s="63">
        <f>'Front Office'!F96+HSKP!F96+Reservation!F96+'ROOMS Admin'!F96</f>
        <v>223742.22</v>
      </c>
      <c r="G135" s="63">
        <f>'Front Office'!G96+HSKP!G96+Reservation!G96+'ROOMS Admin'!G96</f>
        <v>194503.66</v>
      </c>
      <c r="H135" s="63">
        <f>'Front Office'!H96+HSKP!H96+Reservation!H96+'ROOMS Admin'!H96</f>
        <v>198875.14</v>
      </c>
      <c r="I135" s="63">
        <f>'Front Office'!I96+HSKP!I96+Reservation!I96+'ROOMS Admin'!I96</f>
        <v>208258.28</v>
      </c>
      <c r="J135" s="63">
        <f>'Front Office'!J96+HSKP!J96+Reservation!J96+'ROOMS Admin'!J96</f>
        <v>199309.99</v>
      </c>
      <c r="K135" s="63">
        <f>'Front Office'!K96+HSKP!K96+Reservation!K96+'ROOMS Admin'!K96</f>
        <v>236377.26</v>
      </c>
      <c r="L135" s="63">
        <f>'Front Office'!L96+HSKP!L96+Reservation!L96+'ROOMS Admin'!L96</f>
        <v>241324.05</v>
      </c>
      <c r="M135" s="63">
        <f>'Front Office'!M96+HSKP!M96+Reservation!M96+'ROOMS Admin'!M96</f>
        <v>188156.33</v>
      </c>
      <c r="N135" s="63">
        <f>'Front Office'!N96+HSKP!N96+Reservation!N96+'ROOMS Admin'!N96</f>
        <v>210740.54</v>
      </c>
      <c r="O135" s="63">
        <f>'Front Office'!O96+HSKP!O96+Reservation!O96+'ROOMS Admin'!O96</f>
        <v>202183.47</v>
      </c>
      <c r="P135" s="63">
        <f>'Front Office'!P96+HSKP!P96+Reservation!P96+'ROOMS Admin'!P96</f>
        <v>212804.01</v>
      </c>
      <c r="Q135" s="61">
        <f t="shared" si="27"/>
        <v>2503317.2000000002</v>
      </c>
      <c r="R135" s="3">
        <f t="shared" si="28"/>
        <v>91.265346895621434</v>
      </c>
      <c r="T135" s="35"/>
      <c r="U135" s="40"/>
    </row>
    <row r="136" spans="1:21" s="3" customFormat="1" ht="25.4" customHeight="1">
      <c r="D136" s="19" t="s">
        <v>318</v>
      </c>
      <c r="E136" s="151">
        <f>SUM(E129:E135)</f>
        <v>244178.64</v>
      </c>
      <c r="F136" s="151">
        <f t="shared" ref="F136:Q136" si="30">SUM(F129:F135)</f>
        <v>234616.47</v>
      </c>
      <c r="G136" s="151">
        <f t="shared" si="30"/>
        <v>205377.91</v>
      </c>
      <c r="H136" s="151">
        <f t="shared" si="30"/>
        <v>223913.78000000003</v>
      </c>
      <c r="I136" s="151">
        <f t="shared" si="30"/>
        <v>242714.83000000002</v>
      </c>
      <c r="J136" s="151">
        <f t="shared" si="30"/>
        <v>210221.74</v>
      </c>
      <c r="K136" s="151">
        <f t="shared" si="30"/>
        <v>247336.51</v>
      </c>
      <c r="L136" s="151">
        <f t="shared" si="30"/>
        <v>252283.3</v>
      </c>
      <c r="M136" s="151">
        <f t="shared" si="30"/>
        <v>199115.58</v>
      </c>
      <c r="N136" s="151">
        <f t="shared" si="30"/>
        <v>269837.8</v>
      </c>
      <c r="O136" s="151">
        <f t="shared" si="30"/>
        <v>213142.72</v>
      </c>
      <c r="P136" s="151">
        <f t="shared" si="30"/>
        <v>223763.28</v>
      </c>
      <c r="Q136" s="151">
        <f t="shared" si="30"/>
        <v>2766502.56</v>
      </c>
      <c r="R136" s="3">
        <f t="shared" si="28"/>
        <v>100.86049655474133</v>
      </c>
      <c r="T136" s="35"/>
      <c r="U136" s="40"/>
    </row>
    <row r="137" spans="1:21" s="3" customFormat="1" ht="25.4" customHeight="1">
      <c r="L137" s="152"/>
      <c r="T137" s="35"/>
      <c r="U137" s="108"/>
    </row>
    <row r="138" spans="1:21" s="3" customFormat="1" ht="25.4" customHeight="1">
      <c r="A138" s="3" t="s">
        <v>319</v>
      </c>
      <c r="B138" s="50" t="s">
        <v>298</v>
      </c>
      <c r="D138" s="26" t="s">
        <v>320</v>
      </c>
      <c r="E138" s="61">
        <f>'Front Office'!E99+HSKP!E99+Reservation!E97+'ROOMS Admin'!E97</f>
        <v>40381.949999999997</v>
      </c>
      <c r="F138" s="61">
        <f>'Front Office'!F99+HSKP!F99+Reservation!F97+'ROOMS Admin'!F97</f>
        <v>40381.950000000004</v>
      </c>
      <c r="G138" s="61">
        <f>'Front Office'!G99+HSKP!G99+Reservation!G97+'ROOMS Admin'!G97</f>
        <v>40381.950000000004</v>
      </c>
      <c r="H138" s="61">
        <f>'Front Office'!H99+HSKP!H99+Reservation!H97+'ROOMS Admin'!H97</f>
        <v>40381.950000000004</v>
      </c>
      <c r="I138" s="61">
        <f>'Front Office'!I99+HSKP!I99+Reservation!I97+'ROOMS Admin'!I97</f>
        <v>40381.950000000004</v>
      </c>
      <c r="J138" s="61">
        <f>'Front Office'!J99+HSKP!J99+Reservation!J97+'ROOMS Admin'!J97</f>
        <v>40381.950000000004</v>
      </c>
      <c r="K138" s="61">
        <f>'Front Office'!K99+HSKP!K99+Reservation!K97+'ROOMS Admin'!K97</f>
        <v>41063.85</v>
      </c>
      <c r="L138" s="61">
        <f>'Front Office'!L99+HSKP!L99+Reservation!L97+'ROOMS Admin'!L97</f>
        <v>41063.85</v>
      </c>
      <c r="M138" s="61">
        <f>'Front Office'!M99+HSKP!M99+Reservation!M97+'ROOMS Admin'!M97</f>
        <v>41063.85</v>
      </c>
      <c r="N138" s="61">
        <f>'Front Office'!N99+HSKP!N99+Reservation!N97+'ROOMS Admin'!N97</f>
        <v>41063.85</v>
      </c>
      <c r="O138" s="61">
        <f>'Front Office'!O99+HSKP!O99+Reservation!O97+'ROOMS Admin'!O97</f>
        <v>41063.85</v>
      </c>
      <c r="P138" s="61">
        <f>'Front Office'!P99+HSKP!P99+Reservation!P97+'ROOMS Admin'!P97</f>
        <v>41063.85</v>
      </c>
      <c r="Q138" s="61">
        <f t="shared" ref="Q138:Q145" si="31">SUM(E138:P138)</f>
        <v>488674.79999999993</v>
      </c>
      <c r="R138" s="3">
        <f t="shared" ref="R138:R146" si="32">Q138/$Q$111</f>
        <v>17.815990375150385</v>
      </c>
      <c r="T138" s="35"/>
      <c r="U138" s="40"/>
    </row>
    <row r="139" spans="1:21" s="3" customFormat="1" ht="25.4" customHeight="1">
      <c r="A139" s="3" t="s">
        <v>321</v>
      </c>
      <c r="B139" s="50" t="s">
        <v>298</v>
      </c>
      <c r="D139" s="26" t="s">
        <v>322</v>
      </c>
      <c r="E139" s="61">
        <f>'Front Office'!E100+HSKP!E100+Reservation!E98+'ROOMS Admin'!E98</f>
        <v>15391.259999999998</v>
      </c>
      <c r="F139" s="61">
        <f>'Front Office'!F100+HSKP!F100+Reservation!F98+'ROOMS Admin'!F98</f>
        <v>15391.259999999998</v>
      </c>
      <c r="G139" s="61">
        <f>'Front Office'!G100+HSKP!G100+Reservation!G98+'ROOMS Admin'!G98</f>
        <v>15391.259999999998</v>
      </c>
      <c r="H139" s="61">
        <f>'Front Office'!H100+HSKP!H100+Reservation!H98+'ROOMS Admin'!H98</f>
        <v>15391.259999999998</v>
      </c>
      <c r="I139" s="61">
        <f>'Front Office'!I100+HSKP!I100+Reservation!I98+'ROOMS Admin'!I98</f>
        <v>15391.259999999998</v>
      </c>
      <c r="J139" s="61">
        <f>'Front Office'!J100+HSKP!J100+Reservation!J98+'ROOMS Admin'!J98</f>
        <v>15391.259999999998</v>
      </c>
      <c r="K139" s="61">
        <f>'Front Office'!K100+HSKP!K100+Reservation!K98+'ROOMS Admin'!K98</f>
        <v>15628.739999999998</v>
      </c>
      <c r="L139" s="61">
        <f>'Front Office'!L100+HSKP!L100+Reservation!L98+'ROOMS Admin'!L98</f>
        <v>15628.739999999998</v>
      </c>
      <c r="M139" s="61">
        <f>'Front Office'!M100+HSKP!M100+Reservation!M98+'ROOMS Admin'!M98</f>
        <v>15628.739999999998</v>
      </c>
      <c r="N139" s="61">
        <f>'Front Office'!N100+HSKP!N100+Reservation!N98+'ROOMS Admin'!N98</f>
        <v>15628.739999999998</v>
      </c>
      <c r="O139" s="61">
        <f>'Front Office'!O100+HSKP!O100+Reservation!O98+'ROOMS Admin'!O98</f>
        <v>15628.739999999998</v>
      </c>
      <c r="P139" s="61">
        <f>'Front Office'!P100+HSKP!P100+Reservation!P98+'ROOMS Admin'!P98</f>
        <v>15628.739999999998</v>
      </c>
      <c r="Q139" s="61">
        <f t="shared" si="31"/>
        <v>186119.99999999994</v>
      </c>
      <c r="R139" s="3">
        <f t="shared" si="32"/>
        <v>6.785518976265994</v>
      </c>
      <c r="T139" s="35"/>
      <c r="U139" s="40"/>
    </row>
    <row r="140" spans="1:21" s="3" customFormat="1" ht="25.4" customHeight="1">
      <c r="A140" s="3" t="s">
        <v>323</v>
      </c>
      <c r="B140" s="50" t="s">
        <v>298</v>
      </c>
      <c r="D140" s="26" t="s">
        <v>324</v>
      </c>
      <c r="E140" s="61">
        <f>'Front Office'!E101+HSKP!E101+Reservation!E99+'ROOMS Admin'!E99</f>
        <v>2127.52</v>
      </c>
      <c r="F140" s="61">
        <f>'Front Office'!F101+HSKP!F101+Reservation!F99+'ROOMS Admin'!F99</f>
        <v>2127.52</v>
      </c>
      <c r="G140" s="61">
        <f>'Front Office'!G101+HSKP!G101+Reservation!G99+'ROOMS Admin'!G99</f>
        <v>2127.52</v>
      </c>
      <c r="H140" s="61">
        <f>'Front Office'!H101+HSKP!H101+Reservation!H99+'ROOMS Admin'!H99</f>
        <v>2127.52</v>
      </c>
      <c r="I140" s="61">
        <f>'Front Office'!I101+HSKP!I101+Reservation!I99+'ROOMS Admin'!I99</f>
        <v>2127.52</v>
      </c>
      <c r="J140" s="61">
        <f>'Front Office'!J101+HSKP!J101+Reservation!J99+'ROOMS Admin'!J99</f>
        <v>2127.52</v>
      </c>
      <c r="K140" s="61">
        <f>'Front Office'!K101+HSKP!K101+Reservation!K99+'ROOMS Admin'!K99</f>
        <v>2157.92</v>
      </c>
      <c r="L140" s="61">
        <f>'Front Office'!L101+HSKP!L101+Reservation!L99+'ROOMS Admin'!L99</f>
        <v>2157.92</v>
      </c>
      <c r="M140" s="61">
        <f>'Front Office'!M101+HSKP!M101+Reservation!M99+'ROOMS Admin'!M99</f>
        <v>2157.92</v>
      </c>
      <c r="N140" s="61">
        <f>'Front Office'!N101+HSKP!N101+Reservation!N99+'ROOMS Admin'!N99</f>
        <v>2157.92</v>
      </c>
      <c r="O140" s="61">
        <f>'Front Office'!O101+HSKP!O101+Reservation!O99+'ROOMS Admin'!O99</f>
        <v>2157.92</v>
      </c>
      <c r="P140" s="61">
        <f>'Front Office'!P101+HSKP!P101+Reservation!P99+'ROOMS Admin'!P99</f>
        <v>2157.92</v>
      </c>
      <c r="Q140" s="61">
        <f t="shared" si="31"/>
        <v>25712.639999999992</v>
      </c>
      <c r="R140" s="3">
        <f t="shared" si="32"/>
        <v>0.93742535272886329</v>
      </c>
      <c r="T140" s="35"/>
      <c r="U140" s="40"/>
    </row>
    <row r="141" spans="1:21" s="3" customFormat="1" ht="25.4" customHeight="1">
      <c r="A141" s="3" t="s">
        <v>325</v>
      </c>
      <c r="B141" s="50" t="s">
        <v>298</v>
      </c>
      <c r="D141" s="26" t="s">
        <v>326</v>
      </c>
      <c r="E141" s="61">
        <f>'Front Office'!E102+HSKP!E102+Reservation!E100+'ROOMS Admin'!E100</f>
        <v>1063.76</v>
      </c>
      <c r="F141" s="61">
        <f>'Front Office'!F102+HSKP!F102+Reservation!F100+'ROOMS Admin'!F100</f>
        <v>1063.76</v>
      </c>
      <c r="G141" s="61">
        <f>'Front Office'!G102+HSKP!G102+Reservation!G100+'ROOMS Admin'!G100</f>
        <v>1063.76</v>
      </c>
      <c r="H141" s="61">
        <f>'Front Office'!H102+HSKP!H102+Reservation!H100+'ROOMS Admin'!H100</f>
        <v>1063.76</v>
      </c>
      <c r="I141" s="61">
        <f>'Front Office'!I102+HSKP!I102+Reservation!I100+'ROOMS Admin'!I100</f>
        <v>1063.76</v>
      </c>
      <c r="J141" s="61">
        <f>'Front Office'!J102+HSKP!J102+Reservation!J100+'ROOMS Admin'!J100</f>
        <v>1063.76</v>
      </c>
      <c r="K141" s="61">
        <f>'Front Office'!K102+HSKP!K102+Reservation!K100+'ROOMS Admin'!K100</f>
        <v>1078.96</v>
      </c>
      <c r="L141" s="61">
        <f>'Front Office'!L102+HSKP!L102+Reservation!L100+'ROOMS Admin'!L100</f>
        <v>1078.96</v>
      </c>
      <c r="M141" s="61">
        <f>'Front Office'!M102+HSKP!M102+Reservation!M100+'ROOMS Admin'!M100</f>
        <v>1078.96</v>
      </c>
      <c r="N141" s="61">
        <f>'Front Office'!N102+HSKP!N102+Reservation!N100+'ROOMS Admin'!N100</f>
        <v>1078.96</v>
      </c>
      <c r="O141" s="61">
        <f>'Front Office'!O102+HSKP!O102+Reservation!O100+'ROOMS Admin'!O100</f>
        <v>1078.96</v>
      </c>
      <c r="P141" s="61">
        <f>'Front Office'!P102+HSKP!P102+Reservation!P100+'ROOMS Admin'!P100</f>
        <v>1078.96</v>
      </c>
      <c r="Q141" s="61">
        <f t="shared" si="31"/>
        <v>12856.319999999996</v>
      </c>
      <c r="R141" s="3">
        <f t="shared" si="32"/>
        <v>0.46871267636443165</v>
      </c>
      <c r="T141" s="35"/>
      <c r="U141" s="40"/>
    </row>
    <row r="142" spans="1:21" s="3" customFormat="1" ht="25.4" customHeight="1">
      <c r="A142" s="3" t="s">
        <v>327</v>
      </c>
      <c r="B142" s="50" t="s">
        <v>298</v>
      </c>
      <c r="D142" s="26" t="s">
        <v>328</v>
      </c>
      <c r="E142" s="61">
        <f>'Front Office'!E103+HSKP!E103+Reservation!E101+'ROOMS Admin'!E101</f>
        <v>0</v>
      </c>
      <c r="F142" s="61">
        <f>'Front Office'!F103+HSKP!F103+Reservation!F101+'ROOMS Admin'!F101</f>
        <v>0</v>
      </c>
      <c r="G142" s="61">
        <f>'Front Office'!G103+HSKP!G103+Reservation!G101+'ROOMS Admin'!G101</f>
        <v>0</v>
      </c>
      <c r="H142" s="61">
        <f>'Front Office'!H103+HSKP!H103+Reservation!H101+'ROOMS Admin'!H101</f>
        <v>0</v>
      </c>
      <c r="I142" s="61">
        <f>'Front Office'!I103+HSKP!I103+Reservation!I101+'ROOMS Admin'!I101</f>
        <v>0</v>
      </c>
      <c r="J142" s="61">
        <f>'Front Office'!J103+HSKP!J103+Reservation!J101+'ROOMS Admin'!J101</f>
        <v>0</v>
      </c>
      <c r="K142" s="61">
        <f>'Front Office'!K103+HSKP!K103+Reservation!K101+'ROOMS Admin'!K101</f>
        <v>0</v>
      </c>
      <c r="L142" s="61">
        <f>'Front Office'!L103+HSKP!L103+Reservation!L101+'ROOMS Admin'!L101</f>
        <v>0</v>
      </c>
      <c r="M142" s="61">
        <f>'Front Office'!M103+HSKP!M103+Reservation!M101+'ROOMS Admin'!M101</f>
        <v>0</v>
      </c>
      <c r="N142" s="61">
        <f>'Front Office'!N103+HSKP!N103+Reservation!N101+'ROOMS Admin'!N101</f>
        <v>0</v>
      </c>
      <c r="O142" s="61">
        <f>'Front Office'!O103+HSKP!O103+Reservation!O101+'ROOMS Admin'!O101</f>
        <v>0</v>
      </c>
      <c r="P142" s="61">
        <f>'Front Office'!P103+HSKP!P103+Reservation!P101+'ROOMS Admin'!P101</f>
        <v>0</v>
      </c>
      <c r="Q142" s="61">
        <f t="shared" si="31"/>
        <v>0</v>
      </c>
      <c r="R142" s="3">
        <f t="shared" si="32"/>
        <v>0</v>
      </c>
      <c r="T142" s="35"/>
      <c r="U142" s="40"/>
    </row>
    <row r="143" spans="1:21" s="3" customFormat="1" ht="25.4" customHeight="1">
      <c r="A143" s="3" t="s">
        <v>329</v>
      </c>
      <c r="B143" s="50" t="s">
        <v>298</v>
      </c>
      <c r="D143" s="26" t="s">
        <v>330</v>
      </c>
      <c r="E143" s="61">
        <f>'Front Office'!E104+HSKP!E104+Reservation!E102+'ROOMS Admin'!E102</f>
        <v>21275</v>
      </c>
      <c r="F143" s="61">
        <f>'Front Office'!F104+HSKP!F104+Reservation!F102+'ROOMS Admin'!F102</f>
        <v>21275</v>
      </c>
      <c r="G143" s="61">
        <f>'Front Office'!G104+HSKP!G104+Reservation!G102+'ROOMS Admin'!G102</f>
        <v>21275</v>
      </c>
      <c r="H143" s="61">
        <f>'Front Office'!H104+HSKP!H104+Reservation!H102+'ROOMS Admin'!H102</f>
        <v>21275</v>
      </c>
      <c r="I143" s="61">
        <f>'Front Office'!I104+HSKP!I104+Reservation!I102+'ROOMS Admin'!I102</f>
        <v>21275</v>
      </c>
      <c r="J143" s="61">
        <f>'Front Office'!J104+HSKP!J104+Reservation!J102+'ROOMS Admin'!J102</f>
        <v>21275</v>
      </c>
      <c r="K143" s="61">
        <f>'Front Office'!K104+HSKP!K104+Reservation!K102+'ROOMS Admin'!K102</f>
        <v>21579</v>
      </c>
      <c r="L143" s="61">
        <f>'Front Office'!L104+HSKP!L104+Reservation!L102+'ROOMS Admin'!L102</f>
        <v>21579</v>
      </c>
      <c r="M143" s="61">
        <f>'Front Office'!M104+HSKP!M104+Reservation!M102+'ROOMS Admin'!M102</f>
        <v>21579</v>
      </c>
      <c r="N143" s="61">
        <f>'Front Office'!N104+HSKP!N104+Reservation!N102+'ROOMS Admin'!N102</f>
        <v>21579</v>
      </c>
      <c r="O143" s="61">
        <f>'Front Office'!O104+HSKP!O104+Reservation!O102+'ROOMS Admin'!O102</f>
        <v>21579</v>
      </c>
      <c r="P143" s="61">
        <f>'Front Office'!P104+HSKP!P104+Reservation!P102+'ROOMS Admin'!P102</f>
        <v>21579</v>
      </c>
      <c r="Q143" s="61">
        <f t="shared" si="31"/>
        <v>257124</v>
      </c>
      <c r="R143" s="3">
        <f t="shared" si="32"/>
        <v>9.374166028655802</v>
      </c>
      <c r="T143" s="35"/>
      <c r="U143" s="40"/>
    </row>
    <row r="144" spans="1:21" s="3" customFormat="1" ht="25.4" customHeight="1">
      <c r="A144" s="3" t="s">
        <v>331</v>
      </c>
      <c r="B144" s="50" t="s">
        <v>298</v>
      </c>
      <c r="D144" s="26" t="s">
        <v>332</v>
      </c>
      <c r="E144" s="61">
        <f>'Front Office'!E105+HSKP!E105+Reservation!E103+'ROOMS Admin'!E103</f>
        <v>5558.8</v>
      </c>
      <c r="F144" s="61">
        <f>'Front Office'!F105+HSKP!F105+Reservation!F103+'ROOMS Admin'!F103</f>
        <v>5558.8</v>
      </c>
      <c r="G144" s="61">
        <f>'Front Office'!G105+HSKP!G105+Reservation!G103+'ROOMS Admin'!G103</f>
        <v>5558.8</v>
      </c>
      <c r="H144" s="61">
        <f>'Front Office'!H105+HSKP!H105+Reservation!H103+'ROOMS Admin'!H103</f>
        <v>5618.8</v>
      </c>
      <c r="I144" s="61">
        <f>'Front Office'!I105+HSKP!I105+Reservation!I103+'ROOMS Admin'!I103</f>
        <v>5618.8</v>
      </c>
      <c r="J144" s="61">
        <f>'Front Office'!J105+HSKP!J105+Reservation!J103+'ROOMS Admin'!J103</f>
        <v>5618.8</v>
      </c>
      <c r="K144" s="61">
        <f>'Front Office'!K105+HSKP!K105+Reservation!K103+'ROOMS Admin'!K103</f>
        <v>5694.8</v>
      </c>
      <c r="L144" s="61">
        <f>'Front Office'!L105+HSKP!L105+Reservation!L103+'ROOMS Admin'!L103</f>
        <v>5694.8</v>
      </c>
      <c r="M144" s="61">
        <f>'Front Office'!M105+HSKP!M105+Reservation!M103+'ROOMS Admin'!M103</f>
        <v>5694.8</v>
      </c>
      <c r="N144" s="61">
        <f>'Front Office'!N105+HSKP!N105+Reservation!N103+'ROOMS Admin'!N103</f>
        <v>5694.8</v>
      </c>
      <c r="O144" s="61">
        <f>'Front Office'!O105+HSKP!O105+Reservation!O103+'ROOMS Admin'!O103</f>
        <v>5694.8</v>
      </c>
      <c r="P144" s="61">
        <f>'Front Office'!P105+HSKP!P105+Reservation!P103+'ROOMS Admin'!P103</f>
        <v>5694.8</v>
      </c>
      <c r="Q144" s="61">
        <f t="shared" si="31"/>
        <v>67701.60000000002</v>
      </c>
      <c r="R144" s="3">
        <f t="shared" si="32"/>
        <v>2.468248933610413</v>
      </c>
      <c r="T144" s="35"/>
      <c r="U144" s="108"/>
    </row>
    <row r="145" spans="1:21" s="3" customFormat="1" ht="25.4" customHeight="1">
      <c r="A145" s="3" t="s">
        <v>333</v>
      </c>
      <c r="B145" s="50" t="s">
        <v>298</v>
      </c>
      <c r="D145" s="26" t="s">
        <v>334</v>
      </c>
      <c r="E145" s="61">
        <f>'Front Office'!E106+HSKP!E106+Reservation!E104+'ROOMS Admin'!E104</f>
        <v>0</v>
      </c>
      <c r="F145" s="61">
        <f>'Front Office'!F106+HSKP!F106+Reservation!F104+'ROOMS Admin'!F104</f>
        <v>0</v>
      </c>
      <c r="G145" s="61">
        <f>'Front Office'!G106+HSKP!G106+Reservation!G104+'ROOMS Admin'!G104</f>
        <v>0</v>
      </c>
      <c r="H145" s="61">
        <f>'Front Office'!H106+HSKP!H106+Reservation!H104+'ROOMS Admin'!H104</f>
        <v>0</v>
      </c>
      <c r="I145" s="61">
        <f>'Front Office'!I106+HSKP!I106+Reservation!I104+'ROOMS Admin'!I104</f>
        <v>0</v>
      </c>
      <c r="J145" s="61">
        <f>'Front Office'!J106+HSKP!J106+Reservation!J104+'ROOMS Admin'!J104</f>
        <v>0</v>
      </c>
      <c r="K145" s="61">
        <f>'Front Office'!K106+HSKP!K106+Reservation!K104+'ROOMS Admin'!K104</f>
        <v>0</v>
      </c>
      <c r="L145" s="61">
        <f>'Front Office'!L106+HSKP!L106+Reservation!L104+'ROOMS Admin'!L104</f>
        <v>0</v>
      </c>
      <c r="M145" s="61">
        <f>'Front Office'!M106+HSKP!M106+Reservation!M104+'ROOMS Admin'!M104</f>
        <v>0</v>
      </c>
      <c r="N145" s="61">
        <f>'Front Office'!N106+HSKP!N106+Reservation!N104+'ROOMS Admin'!N104</f>
        <v>0</v>
      </c>
      <c r="O145" s="61">
        <f>'Front Office'!O106+HSKP!O106+Reservation!O104+'ROOMS Admin'!O104</f>
        <v>0</v>
      </c>
      <c r="P145" s="61">
        <f>'Front Office'!P106+HSKP!P106+Reservation!P104+'ROOMS Admin'!P104</f>
        <v>0</v>
      </c>
      <c r="Q145" s="61">
        <f t="shared" si="31"/>
        <v>0</v>
      </c>
      <c r="R145" s="3">
        <f t="shared" si="32"/>
        <v>0</v>
      </c>
      <c r="T145" s="35"/>
      <c r="U145" s="108"/>
    </row>
    <row r="146" spans="1:21" s="3" customFormat="1" ht="25.4" customHeight="1">
      <c r="D146" s="19" t="s">
        <v>335</v>
      </c>
      <c r="E146" s="151">
        <f>SUM(E138:E145)</f>
        <v>85798.29</v>
      </c>
      <c r="F146" s="151">
        <f t="shared" ref="F146:Q146" si="33">SUM(F138:F145)</f>
        <v>85798.290000000008</v>
      </c>
      <c r="G146" s="151">
        <f t="shared" si="33"/>
        <v>85798.290000000008</v>
      </c>
      <c r="H146" s="151">
        <f t="shared" si="33"/>
        <v>85858.290000000008</v>
      </c>
      <c r="I146" s="151">
        <f t="shared" si="33"/>
        <v>85858.290000000008</v>
      </c>
      <c r="J146" s="151">
        <f t="shared" si="33"/>
        <v>85858.290000000008</v>
      </c>
      <c r="K146" s="151">
        <f t="shared" si="33"/>
        <v>87203.27</v>
      </c>
      <c r="L146" s="151">
        <f t="shared" si="33"/>
        <v>87203.27</v>
      </c>
      <c r="M146" s="151">
        <f t="shared" si="33"/>
        <v>87203.27</v>
      </c>
      <c r="N146" s="151">
        <f t="shared" si="33"/>
        <v>87203.27</v>
      </c>
      <c r="O146" s="151">
        <f t="shared" si="33"/>
        <v>87203.27</v>
      </c>
      <c r="P146" s="151">
        <f t="shared" si="33"/>
        <v>87203.27</v>
      </c>
      <c r="Q146" s="151">
        <f t="shared" si="33"/>
        <v>1038189.3599999998</v>
      </c>
      <c r="R146" s="3">
        <f t="shared" si="32"/>
        <v>37.850062342775885</v>
      </c>
      <c r="T146" s="35"/>
      <c r="U146" s="40"/>
    </row>
    <row r="147" spans="1:21" s="3" customFormat="1" ht="25.4" customHeight="1">
      <c r="L147" s="152"/>
      <c r="T147" s="35"/>
      <c r="U147" s="108"/>
    </row>
    <row r="148" spans="1:21" s="3" customFormat="1" ht="25.4" hidden="1" customHeight="1">
      <c r="A148" s="3" t="s">
        <v>336</v>
      </c>
      <c r="B148" s="50" t="s">
        <v>298</v>
      </c>
      <c r="D148" s="26" t="s">
        <v>337</v>
      </c>
      <c r="E148" s="61">
        <f>'Front Office'!E109+HSKP!E109+Reservation!E107+'ROOMS Admin'!E107</f>
        <v>0</v>
      </c>
      <c r="F148" s="61">
        <f>'Front Office'!F109+HSKP!F109+Reservation!F107+'ROOMS Admin'!F107</f>
        <v>0</v>
      </c>
      <c r="G148" s="61">
        <f>'Front Office'!G109+HSKP!G109+Reservation!G107+'ROOMS Admin'!G107</f>
        <v>0</v>
      </c>
      <c r="H148" s="61">
        <f>'Front Office'!H109+HSKP!H109+Reservation!H107+'ROOMS Admin'!H107</f>
        <v>0</v>
      </c>
      <c r="I148" s="61">
        <f>'Front Office'!I109+HSKP!I109+Reservation!I107+'ROOMS Admin'!I107</f>
        <v>0</v>
      </c>
      <c r="J148" s="61">
        <f>'Front Office'!J109+HSKP!J109+Reservation!J107+'ROOMS Admin'!J107</f>
        <v>0</v>
      </c>
      <c r="K148" s="61">
        <f>'Front Office'!K109+HSKP!K109+Reservation!K107+'ROOMS Admin'!K107</f>
        <v>0</v>
      </c>
      <c r="L148" s="61">
        <f>'Front Office'!L109+HSKP!L109+Reservation!L107+'ROOMS Admin'!L107</f>
        <v>0</v>
      </c>
      <c r="M148" s="61">
        <f>'Front Office'!M109+HSKP!M109+Reservation!M107+'ROOMS Admin'!M107</f>
        <v>0</v>
      </c>
      <c r="N148" s="61">
        <f>'Front Office'!N109+HSKP!N109+Reservation!N107+'ROOMS Admin'!N107</f>
        <v>0</v>
      </c>
      <c r="O148" s="61">
        <f>'Front Office'!O109+HSKP!O109+Reservation!O107+'ROOMS Admin'!O107</f>
        <v>0</v>
      </c>
      <c r="P148" s="61">
        <f>'Front Office'!P109+HSKP!P109+Reservation!P107+'ROOMS Admin'!P107</f>
        <v>0</v>
      </c>
      <c r="Q148" s="61">
        <f t="shared" ref="Q148:Q154" si="34">SUM(E148:P148)</f>
        <v>0</v>
      </c>
      <c r="R148" s="3">
        <f t="shared" ref="R148:R156" si="35">Q148/$Q$111</f>
        <v>0</v>
      </c>
      <c r="T148" s="35"/>
      <c r="U148" s="108"/>
    </row>
    <row r="149" spans="1:21" s="3" customFormat="1" ht="25.4" hidden="1" customHeight="1">
      <c r="A149" s="3" t="s">
        <v>338</v>
      </c>
      <c r="B149" s="50" t="s">
        <v>298</v>
      </c>
      <c r="D149" s="3" t="s">
        <v>339</v>
      </c>
      <c r="E149" s="61">
        <f>'Front Office'!E110+HSKP!E110+Reservation!E108+'ROOMS Admin'!E108</f>
        <v>0</v>
      </c>
      <c r="F149" s="61">
        <f>'Front Office'!F110+HSKP!F110+Reservation!F108+'ROOMS Admin'!F108</f>
        <v>0</v>
      </c>
      <c r="G149" s="61">
        <f>'Front Office'!G110+HSKP!G110+Reservation!G108+'ROOMS Admin'!G108</f>
        <v>0</v>
      </c>
      <c r="H149" s="61">
        <f>'Front Office'!H110+HSKP!H110+Reservation!H108+'ROOMS Admin'!H108</f>
        <v>0</v>
      </c>
      <c r="I149" s="61">
        <f>'Front Office'!I110+HSKP!I110+Reservation!I108+'ROOMS Admin'!I108</f>
        <v>0</v>
      </c>
      <c r="J149" s="61">
        <f>'Front Office'!J110+HSKP!J110+Reservation!J108+'ROOMS Admin'!J108</f>
        <v>0</v>
      </c>
      <c r="K149" s="61">
        <f>'Front Office'!K110+HSKP!K110+Reservation!K108+'ROOMS Admin'!K108</f>
        <v>0</v>
      </c>
      <c r="L149" s="61">
        <f>'Front Office'!L110+HSKP!L110+Reservation!L108+'ROOMS Admin'!L108</f>
        <v>0</v>
      </c>
      <c r="M149" s="61">
        <f>'Front Office'!M110+HSKP!M110+Reservation!M108+'ROOMS Admin'!M108</f>
        <v>0</v>
      </c>
      <c r="N149" s="61">
        <f>'Front Office'!N110+HSKP!N110+Reservation!N108+'ROOMS Admin'!N108</f>
        <v>0</v>
      </c>
      <c r="O149" s="61">
        <f>'Front Office'!O110+HSKP!O110+Reservation!O108+'ROOMS Admin'!O108</f>
        <v>0</v>
      </c>
      <c r="P149" s="61">
        <f>'Front Office'!P110+HSKP!P110+Reservation!P108+'ROOMS Admin'!P108</f>
        <v>0</v>
      </c>
      <c r="Q149" s="61">
        <f t="shared" si="34"/>
        <v>0</v>
      </c>
      <c r="R149" s="3">
        <f t="shared" si="35"/>
        <v>0</v>
      </c>
      <c r="T149" s="35"/>
      <c r="U149" s="108"/>
    </row>
    <row r="150" spans="1:21" s="3" customFormat="1" ht="25.4" hidden="1" customHeight="1">
      <c r="A150" s="3" t="s">
        <v>340</v>
      </c>
      <c r="B150" s="50" t="s">
        <v>298</v>
      </c>
      <c r="D150" s="26" t="s">
        <v>341</v>
      </c>
      <c r="E150" s="61">
        <f>'Front Office'!E111+HSKP!E111+Reservation!E109+'ROOMS Admin'!E109</f>
        <v>0</v>
      </c>
      <c r="F150" s="61">
        <f>'Front Office'!F111+HSKP!F111+Reservation!F109+'ROOMS Admin'!F109</f>
        <v>0</v>
      </c>
      <c r="G150" s="61">
        <f>'Front Office'!G111+HSKP!G111+Reservation!G109+'ROOMS Admin'!G109</f>
        <v>0</v>
      </c>
      <c r="H150" s="61">
        <f>'Front Office'!H111+HSKP!H111+Reservation!H109+'ROOMS Admin'!H109</f>
        <v>0</v>
      </c>
      <c r="I150" s="61">
        <f>'Front Office'!I111+HSKP!I111+Reservation!I109+'ROOMS Admin'!I109</f>
        <v>0</v>
      </c>
      <c r="J150" s="61">
        <f>'Front Office'!J111+HSKP!J111+Reservation!J109+'ROOMS Admin'!J109</f>
        <v>0</v>
      </c>
      <c r="K150" s="61">
        <f>'Front Office'!K111+HSKP!K111+Reservation!K109+'ROOMS Admin'!K109</f>
        <v>0</v>
      </c>
      <c r="L150" s="61">
        <f>'Front Office'!L111+HSKP!L111+Reservation!L109+'ROOMS Admin'!L109</f>
        <v>0</v>
      </c>
      <c r="M150" s="61">
        <f>'Front Office'!M111+HSKP!M111+Reservation!M109+'ROOMS Admin'!M109</f>
        <v>0</v>
      </c>
      <c r="N150" s="61">
        <f>'Front Office'!N111+HSKP!N111+Reservation!N109+'ROOMS Admin'!N109</f>
        <v>0</v>
      </c>
      <c r="O150" s="61">
        <f>'Front Office'!O111+HSKP!O111+Reservation!O109+'ROOMS Admin'!O109</f>
        <v>0</v>
      </c>
      <c r="P150" s="61">
        <f>'Front Office'!P111+HSKP!P111+Reservation!P109+'ROOMS Admin'!P109</f>
        <v>0</v>
      </c>
      <c r="Q150" s="61">
        <f t="shared" si="34"/>
        <v>0</v>
      </c>
      <c r="R150" s="3">
        <f t="shared" si="35"/>
        <v>0</v>
      </c>
      <c r="T150" s="35"/>
      <c r="U150" s="108"/>
    </row>
    <row r="151" spans="1:21" s="3" customFormat="1" ht="25.4" hidden="1" customHeight="1">
      <c r="A151" s="3" t="s">
        <v>342</v>
      </c>
      <c r="B151" s="50" t="s">
        <v>298</v>
      </c>
      <c r="D151" s="26" t="s">
        <v>343</v>
      </c>
      <c r="E151" s="61">
        <f>'Front Office'!E112+HSKP!E112+Reservation!E110+'ROOMS Admin'!E110</f>
        <v>0</v>
      </c>
      <c r="F151" s="61">
        <f>'Front Office'!F112+HSKP!F112+Reservation!F110+'ROOMS Admin'!F110</f>
        <v>0</v>
      </c>
      <c r="G151" s="61">
        <f>'Front Office'!G112+HSKP!G112+Reservation!G110+'ROOMS Admin'!G110</f>
        <v>0</v>
      </c>
      <c r="H151" s="61">
        <f>'Front Office'!H112+HSKP!H112+Reservation!H110+'ROOMS Admin'!H110</f>
        <v>0</v>
      </c>
      <c r="I151" s="61">
        <f>'Front Office'!I112+HSKP!I112+Reservation!I110+'ROOMS Admin'!I110</f>
        <v>0</v>
      </c>
      <c r="J151" s="61">
        <f>'Front Office'!J112+HSKP!J112+Reservation!J110+'ROOMS Admin'!J110</f>
        <v>0</v>
      </c>
      <c r="K151" s="61">
        <f>'Front Office'!K112+HSKP!K112+Reservation!K110+'ROOMS Admin'!K110</f>
        <v>0</v>
      </c>
      <c r="L151" s="61">
        <f>'Front Office'!L112+HSKP!L112+Reservation!L110+'ROOMS Admin'!L110</f>
        <v>0</v>
      </c>
      <c r="M151" s="61">
        <f>'Front Office'!M112+HSKP!M112+Reservation!M110+'ROOMS Admin'!M110</f>
        <v>0</v>
      </c>
      <c r="N151" s="61">
        <f>'Front Office'!N112+HSKP!N112+Reservation!N110+'ROOMS Admin'!N110</f>
        <v>0</v>
      </c>
      <c r="O151" s="61">
        <f>'Front Office'!O112+HSKP!O112+Reservation!O110+'ROOMS Admin'!O110</f>
        <v>0</v>
      </c>
      <c r="P151" s="61">
        <f>'Front Office'!P112+HSKP!P112+Reservation!P110+'ROOMS Admin'!P110</f>
        <v>0</v>
      </c>
      <c r="Q151" s="61">
        <f t="shared" si="34"/>
        <v>0</v>
      </c>
      <c r="R151" s="3">
        <f t="shared" si="35"/>
        <v>0</v>
      </c>
      <c r="T151" s="35"/>
      <c r="U151" s="108"/>
    </row>
    <row r="152" spans="1:21" s="3" customFormat="1" ht="25.4" customHeight="1">
      <c r="A152" s="3" t="s">
        <v>344</v>
      </c>
      <c r="B152" s="50" t="s">
        <v>298</v>
      </c>
      <c r="D152" s="26" t="s">
        <v>345</v>
      </c>
      <c r="E152" s="61">
        <f>'Front Office'!E113+HSKP!E113+Reservation!E111+'ROOMS Admin'!E111</f>
        <v>2460</v>
      </c>
      <c r="F152" s="61">
        <f>'Front Office'!F113+HSKP!F113+Reservation!F111+'ROOMS Admin'!F111</f>
        <v>3280</v>
      </c>
      <c r="G152" s="61">
        <f>'Front Office'!G113+HSKP!G113+Reservation!G111+'ROOMS Admin'!G111</f>
        <v>2460</v>
      </c>
      <c r="H152" s="61">
        <f>'Front Office'!H113+HSKP!H113+Reservation!H111+'ROOMS Admin'!H111</f>
        <v>2520</v>
      </c>
      <c r="I152" s="61">
        <f>'Front Office'!I113+HSKP!I113+Reservation!I111+'ROOMS Admin'!I111</f>
        <v>2520</v>
      </c>
      <c r="J152" s="61">
        <f>'Front Office'!J113+HSKP!J113+Reservation!J111+'ROOMS Admin'!J111</f>
        <v>2520</v>
      </c>
      <c r="K152" s="61">
        <f>'Front Office'!K113+HSKP!K113+Reservation!K111+'ROOMS Admin'!K111</f>
        <v>2580</v>
      </c>
      <c r="L152" s="61">
        <f>'Front Office'!L113+HSKP!L113+Reservation!L111+'ROOMS Admin'!L111</f>
        <v>2580</v>
      </c>
      <c r="M152" s="61">
        <f>'Front Office'!M113+HSKP!M113+Reservation!M111+'ROOMS Admin'!M111</f>
        <v>2580</v>
      </c>
      <c r="N152" s="61">
        <f>'Front Office'!N113+HSKP!N113+Reservation!N111+'ROOMS Admin'!N111</f>
        <v>2580</v>
      </c>
      <c r="O152" s="61">
        <f>'Front Office'!O113+HSKP!O113+Reservation!O111+'ROOMS Admin'!O111</f>
        <v>2580</v>
      </c>
      <c r="P152" s="61">
        <f>'Front Office'!P113+HSKP!P113+Reservation!P111+'ROOMS Admin'!P111</f>
        <v>2580</v>
      </c>
      <c r="Q152" s="61">
        <f t="shared" si="34"/>
        <v>31240</v>
      </c>
      <c r="R152" s="3">
        <f t="shared" si="35"/>
        <v>1.1389405373874366</v>
      </c>
      <c r="T152" s="35"/>
      <c r="U152" s="40"/>
    </row>
    <row r="153" spans="1:21" s="3" customFormat="1" ht="25.4" customHeight="1">
      <c r="A153" s="3" t="s">
        <v>346</v>
      </c>
      <c r="B153" s="50" t="s">
        <v>298</v>
      </c>
      <c r="D153" s="26" t="s">
        <v>347</v>
      </c>
      <c r="E153" s="61">
        <f>'Front Office'!E114+HSKP!E114+Reservation!E112+'ROOMS Admin'!E112</f>
        <v>14584.929999999997</v>
      </c>
      <c r="F153" s="61">
        <f>'Front Office'!F114+HSKP!F114+Reservation!F112+'ROOMS Admin'!F112</f>
        <v>14527.529999999999</v>
      </c>
      <c r="G153" s="61">
        <f>'Front Office'!G114+HSKP!G114+Reservation!G112+'ROOMS Admin'!G112</f>
        <v>14470.539999999995</v>
      </c>
      <c r="H153" s="61">
        <f>'Front Office'!H114+HSKP!H114+Reservation!H112+'ROOMS Admin'!H112</f>
        <v>14765.520000000006</v>
      </c>
      <c r="I153" s="61">
        <f>'Front Office'!I114+HSKP!I114+Reservation!I112+'ROOMS Admin'!I112</f>
        <v>14372.819999999998</v>
      </c>
      <c r="J153" s="61">
        <f>'Front Office'!J114+HSKP!J114+Reservation!J112+'ROOMS Admin'!J112</f>
        <v>14157.359999999999</v>
      </c>
      <c r="K153" s="61">
        <f>'Front Office'!K114+HSKP!K114+Reservation!K112+'ROOMS Admin'!K112</f>
        <v>14227.840000000002</v>
      </c>
      <c r="L153" s="61">
        <f>'Front Office'!L114+HSKP!L114+Reservation!L112+'ROOMS Admin'!L112</f>
        <v>14227.840000000002</v>
      </c>
      <c r="M153" s="61">
        <f>'Front Office'!M114+HSKP!M114+Reservation!M112+'ROOMS Admin'!M112</f>
        <v>14124.210000000006</v>
      </c>
      <c r="N153" s="61">
        <f>'Front Office'!N114+HSKP!N114+Reservation!N112+'ROOMS Admin'!N112</f>
        <v>14021.870000000003</v>
      </c>
      <c r="O153" s="61">
        <f>'Front Office'!O114+HSKP!O114+Reservation!O112+'ROOMS Admin'!O112</f>
        <v>13971.129999999997</v>
      </c>
      <c r="P153" s="61">
        <f>'Front Office'!P114+HSKP!P114+Reservation!P112+'ROOMS Admin'!P112</f>
        <v>13920.819999999996</v>
      </c>
      <c r="Q153" s="61">
        <f t="shared" si="34"/>
        <v>171372.41</v>
      </c>
      <c r="R153" s="3">
        <f t="shared" si="35"/>
        <v>6.2478548251850237</v>
      </c>
      <c r="T153" s="35"/>
      <c r="U153" s="40"/>
    </row>
    <row r="154" spans="1:21" s="3" customFormat="1" ht="25.4" customHeight="1">
      <c r="A154" s="3" t="s">
        <v>348</v>
      </c>
      <c r="B154" s="50" t="s">
        <v>298</v>
      </c>
      <c r="D154" s="26" t="s">
        <v>349</v>
      </c>
      <c r="E154" s="61">
        <f>'Front Office'!E115+HSKP!E115+Reservation!E113+'ROOMS Admin'!E113</f>
        <v>43183.25</v>
      </c>
      <c r="F154" s="61">
        <f>'Front Office'!F115+HSKP!F115+Reservation!F113+'ROOMS Admin'!F113</f>
        <v>42471.489999999991</v>
      </c>
      <c r="G154" s="61">
        <f>'Front Office'!G115+HSKP!G115+Reservation!G113+'ROOMS Admin'!G113</f>
        <v>41916.760000000009</v>
      </c>
      <c r="H154" s="61">
        <f>'Front Office'!H115+HSKP!H115+Reservation!H113+'ROOMS Admin'!H113</f>
        <v>43133.159999999989</v>
      </c>
      <c r="I154" s="61">
        <f>'Front Office'!I115+HSKP!I115+Reservation!I113+'ROOMS Admin'!I113</f>
        <v>42259.13999999997</v>
      </c>
      <c r="J154" s="61">
        <f>'Front Office'!J115+HSKP!J115+Reservation!J113+'ROOMS Admin'!J113</f>
        <v>41521.620000000017</v>
      </c>
      <c r="K154" s="61">
        <f>'Front Office'!K115+HSKP!K115+Reservation!K113+'ROOMS Admin'!K113</f>
        <v>42167.090000000018</v>
      </c>
      <c r="L154" s="61">
        <f>'Front Office'!L115+HSKP!L115+Reservation!L113+'ROOMS Admin'!L113</f>
        <v>42244.059999999961</v>
      </c>
      <c r="M154" s="61">
        <f>'Front Office'!M115+HSKP!M115+Reservation!M113+'ROOMS Admin'!M113</f>
        <v>42415.200000000012</v>
      </c>
      <c r="N154" s="61">
        <f>'Front Office'!N115+HSKP!N115+Reservation!N113+'ROOMS Admin'!N113</f>
        <v>42729.529999999977</v>
      </c>
      <c r="O154" s="61">
        <f>'Front Office'!O115+HSKP!O115+Reservation!O113+'ROOMS Admin'!O113</f>
        <v>42207.940000000024</v>
      </c>
      <c r="P154" s="61">
        <f>'Front Office'!P115+HSKP!P115+Reservation!P113+'ROOMS Admin'!P113</f>
        <v>42072.059999999976</v>
      </c>
      <c r="Q154" s="61">
        <f t="shared" si="34"/>
        <v>508321.29999999987</v>
      </c>
      <c r="R154" s="3">
        <f t="shared" si="35"/>
        <v>18.532257829304747</v>
      </c>
      <c r="T154" s="35"/>
      <c r="U154" s="40"/>
    </row>
    <row r="155" spans="1:21" s="3" customFormat="1" ht="25.4" customHeight="1">
      <c r="B155" s="50"/>
      <c r="D155" s="19" t="s">
        <v>350</v>
      </c>
      <c r="E155" s="151">
        <f>SUM(E148:E154)</f>
        <v>60228.179999999993</v>
      </c>
      <c r="F155" s="151">
        <f t="shared" ref="F155:Q155" si="36">SUM(F148:F154)</f>
        <v>60279.01999999999</v>
      </c>
      <c r="G155" s="151">
        <f t="shared" si="36"/>
        <v>58847.3</v>
      </c>
      <c r="H155" s="151">
        <f t="shared" si="36"/>
        <v>60418.679999999993</v>
      </c>
      <c r="I155" s="151">
        <f t="shared" si="36"/>
        <v>59151.95999999997</v>
      </c>
      <c r="J155" s="151">
        <f t="shared" si="36"/>
        <v>58198.980000000018</v>
      </c>
      <c r="K155" s="151">
        <f t="shared" si="36"/>
        <v>58974.930000000022</v>
      </c>
      <c r="L155" s="151">
        <f t="shared" si="36"/>
        <v>59051.899999999965</v>
      </c>
      <c r="M155" s="151">
        <f t="shared" si="36"/>
        <v>59119.410000000018</v>
      </c>
      <c r="N155" s="151">
        <f t="shared" si="36"/>
        <v>59331.39999999998</v>
      </c>
      <c r="O155" s="151">
        <f t="shared" si="36"/>
        <v>58759.070000000022</v>
      </c>
      <c r="P155" s="151">
        <f t="shared" si="36"/>
        <v>58572.879999999976</v>
      </c>
      <c r="Q155" s="151">
        <f t="shared" si="36"/>
        <v>710933.70999999985</v>
      </c>
      <c r="R155" s="3">
        <f t="shared" si="35"/>
        <v>25.919053191877204</v>
      </c>
      <c r="T155" s="35"/>
      <c r="U155" s="40"/>
    </row>
    <row r="156" spans="1:21" s="3" customFormat="1" ht="25.4" customHeight="1">
      <c r="D156" s="19" t="s">
        <v>351</v>
      </c>
      <c r="E156" s="151">
        <f>E127+E136+E146+E155</f>
        <v>668145.1100000001</v>
      </c>
      <c r="F156" s="151">
        <f t="shared" ref="F156:Q156" si="37">F127+F136+F146+F155</f>
        <v>658633.78</v>
      </c>
      <c r="G156" s="151">
        <f t="shared" si="37"/>
        <v>627963.50000000012</v>
      </c>
      <c r="H156" s="151">
        <f t="shared" si="37"/>
        <v>651130.75</v>
      </c>
      <c r="I156" s="151">
        <f t="shared" si="37"/>
        <v>668665.07999999996</v>
      </c>
      <c r="J156" s="151">
        <f t="shared" si="37"/>
        <v>635219.01</v>
      </c>
      <c r="K156" s="151">
        <f t="shared" si="37"/>
        <v>678254.71000000008</v>
      </c>
      <c r="L156" s="151">
        <f t="shared" si="37"/>
        <v>683278.47</v>
      </c>
      <c r="M156" s="151">
        <f t="shared" si="37"/>
        <v>630178.26</v>
      </c>
      <c r="N156" s="151">
        <f t="shared" si="37"/>
        <v>701112.47000000009</v>
      </c>
      <c r="O156" s="151">
        <f t="shared" si="37"/>
        <v>643845.06000000006</v>
      </c>
      <c r="P156" s="151">
        <f t="shared" si="37"/>
        <v>654279.43000000005</v>
      </c>
      <c r="Q156" s="151">
        <f t="shared" si="37"/>
        <v>7900705.6299999999</v>
      </c>
      <c r="R156" s="3">
        <f t="shared" si="35"/>
        <v>288.04205876991506</v>
      </c>
      <c r="T156" s="35"/>
      <c r="U156" s="40"/>
    </row>
    <row r="157" spans="1:21" s="42" customFormat="1" ht="25.4" customHeight="1">
      <c r="A157" s="42" t="s">
        <v>352</v>
      </c>
      <c r="D157" s="42" t="s">
        <v>353</v>
      </c>
      <c r="E157" s="42">
        <f>E136+E146+E155+E127</f>
        <v>668145.11</v>
      </c>
      <c r="F157" s="42">
        <f t="shared" ref="F157:P157" si="38">F136+F146+F155+F127</f>
        <v>658633.78</v>
      </c>
      <c r="G157" s="42">
        <f t="shared" si="38"/>
        <v>627963.5</v>
      </c>
      <c r="H157" s="42">
        <f t="shared" si="38"/>
        <v>651130.75</v>
      </c>
      <c r="I157" s="42">
        <f t="shared" si="38"/>
        <v>668665.07999999996</v>
      </c>
      <c r="J157" s="42">
        <f t="shared" si="38"/>
        <v>635219.01</v>
      </c>
      <c r="K157" s="42">
        <f t="shared" si="38"/>
        <v>678254.71000000008</v>
      </c>
      <c r="L157" s="42">
        <f t="shared" si="38"/>
        <v>683278.47</v>
      </c>
      <c r="M157" s="42">
        <f t="shared" si="38"/>
        <v>630178.26</v>
      </c>
      <c r="N157" s="42">
        <f t="shared" si="38"/>
        <v>701112.47</v>
      </c>
      <c r="O157" s="42">
        <f t="shared" si="38"/>
        <v>643845.06000000006</v>
      </c>
      <c r="P157" s="42">
        <f t="shared" si="38"/>
        <v>654279.42999999993</v>
      </c>
      <c r="Q157" s="42">
        <f>Q136+Q146+Q155+Q127</f>
        <v>7900705.6299999999</v>
      </c>
      <c r="S157" s="39"/>
      <c r="T157" s="35"/>
      <c r="U157" s="108"/>
    </row>
    <row r="158" spans="1:21" s="42" customFormat="1" ht="25.4" customHeight="1">
      <c r="L158" s="152"/>
      <c r="Q158" s="42">
        <f>Q156-Q135-Q134</f>
        <v>5397388.4299999997</v>
      </c>
      <c r="S158" s="39"/>
      <c r="T158" s="35"/>
      <c r="U158" s="108"/>
    </row>
    <row r="159" spans="1:21" s="3" customFormat="1" ht="25.4" customHeight="1">
      <c r="A159" s="177" t="s">
        <v>108</v>
      </c>
      <c r="B159" s="50" t="s">
        <v>298</v>
      </c>
      <c r="D159" s="19" t="s">
        <v>354</v>
      </c>
      <c r="E159" s="65">
        <f>'Front Office'!E120+HSKP!E120+Reservation!E118+'ROOMS Admin'!E118</f>
        <v>50</v>
      </c>
      <c r="F159" s="65">
        <f>'Front Office'!F120+HSKP!F120+Reservation!F118+'ROOMS Admin'!F118</f>
        <v>51</v>
      </c>
      <c r="G159" s="65">
        <f>'Front Office'!G120+HSKP!G120+Reservation!G118+'ROOMS Admin'!G118</f>
        <v>49</v>
      </c>
      <c r="H159" s="65">
        <f>'Front Office'!H120+HSKP!H120+Reservation!H118+'ROOMS Admin'!H118</f>
        <v>51</v>
      </c>
      <c r="I159" s="65">
        <f>'Front Office'!I120+HSKP!I120+Reservation!I118+'ROOMS Admin'!I118</f>
        <v>54</v>
      </c>
      <c r="J159" s="65">
        <f>'Front Office'!J120+HSKP!J120+Reservation!J118+'ROOMS Admin'!J118</f>
        <v>53</v>
      </c>
      <c r="K159" s="65">
        <f>'Front Office'!K120+HSKP!K120+Reservation!K118+'ROOMS Admin'!K118</f>
        <v>58</v>
      </c>
      <c r="L159" s="65">
        <f>'Front Office'!L120+HSKP!L120+Reservation!L118+'ROOMS Admin'!L118</f>
        <v>59</v>
      </c>
      <c r="M159" s="65">
        <f>'Front Office'!M120+HSKP!M120+Reservation!M118+'ROOMS Admin'!M118</f>
        <v>53</v>
      </c>
      <c r="N159" s="65">
        <f>'Front Office'!N120+HSKP!N120+Reservation!N118+'ROOMS Admin'!N118</f>
        <v>56</v>
      </c>
      <c r="O159" s="65">
        <f>'Front Office'!O120+HSKP!O120+Reservation!O118+'ROOMS Admin'!O118</f>
        <v>52</v>
      </c>
      <c r="P159" s="65">
        <f>'Front Office'!P120+HSKP!P120+Reservation!P118+'ROOMS Admin'!P118</f>
        <v>53</v>
      </c>
      <c r="Q159" s="133">
        <f>SUM(E159:P159)/12</f>
        <v>53.25</v>
      </c>
      <c r="S159" s="39"/>
      <c r="T159" s="35"/>
      <c r="U159" s="40"/>
    </row>
    <row r="161" spans="16:17" ht="26.25" customHeight="1">
      <c r="P161" s="231" t="s">
        <v>1060</v>
      </c>
      <c r="Q161" s="232">
        <f>+Q127+Q136</f>
        <v>6151582.5600000005</v>
      </c>
    </row>
    <row r="162" spans="16:17" ht="26.25" customHeight="1">
      <c r="P162" s="231" t="s">
        <v>788</v>
      </c>
      <c r="Q162" s="232">
        <f>+Q146+Q155</f>
        <v>1749123.0699999996</v>
      </c>
    </row>
    <row r="163" spans="16:17" ht="26.25" customHeight="1">
      <c r="Q163" s="232">
        <f>SUM(Q161:Q162)-Q156</f>
        <v>0</v>
      </c>
    </row>
  </sheetData>
  <autoFilter ref="Q1:Q159"/>
  <phoneticPr fontId="56" type="noConversion"/>
  <dataValidations count="82">
    <dataValidation type="textLength" errorStyle="information" allowBlank="1" showInputMessage="1" showErrorMessage="1" error="XLBVal:6=265776_x000d__x000a_" sqref="Q102">
      <formula1>0</formula1>
      <formula2>300</formula2>
    </dataValidation>
    <dataValidation type="textLength" errorStyle="information" allowBlank="1" showInputMessage="1" showErrorMessage="1" error="XLBVal:6=1439748_x000d__x000a_" sqref="Q138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3523.65_x000d__x000a_" sqref="G106">
      <formula1>0</formula1>
      <formula2>300</formula2>
    </dataValidation>
    <dataValidation type="textLength" errorStyle="information" allowBlank="1" showInputMessage="1" showErrorMessage="1" error="XLBVal:6=215352.96_x000d__x000a_" sqref="E12">
      <formula1>0</formula1>
      <formula2>300</formula2>
    </dataValidation>
    <dataValidation type="textLength" errorStyle="information" allowBlank="1" showInputMessage="1" showErrorMessage="1" error="XLBVal:6=935803.3_x000d__x000a_" sqref="G12">
      <formula1>0</formula1>
      <formula2>300</formula2>
    </dataValidation>
    <dataValidation type="textLength" errorStyle="information" allowBlank="1" showInputMessage="1" showErrorMessage="1" error="XLBVal:6=162527582_x000d__x000a_" sqref="Q13:Q14">
      <formula1>0</formula1>
      <formula2>300</formula2>
    </dataValidation>
    <dataValidation type="textLength" errorStyle="information" allowBlank="1" showInputMessage="1" showErrorMessage="1" error="XLBVal:6=320558.66_x000d__x000a_" sqref="F12">
      <formula1>0</formula1>
      <formula2>300</formula2>
    </dataValidation>
    <dataValidation type="textLength" errorStyle="information" allowBlank="1" showInputMessage="1" showErrorMessage="1" error="XLBVal:6=52776685_x000d__x000a_" sqref="Q12">
      <formula1>0</formula1>
      <formula2>300</formula2>
    </dataValidation>
    <dataValidation type="textLength" errorStyle="information" allowBlank="1" showInputMessage="1" showErrorMessage="1" error="XLBVal:6=1662676.47_x000d__x000a_" sqref="H12">
      <formula1>0</formula1>
      <formula2>300</formula2>
    </dataValidation>
    <dataValidation type="textLength" errorStyle="information" allowBlank="1" showInputMessage="1" showErrorMessage="1" error="XLBVal:6=497071_x000d__x000a_" sqref="Q56">
      <formula1>0</formula1>
      <formula2>300</formula2>
    </dataValidation>
    <dataValidation type="textLength" errorStyle="information" allowBlank="1" showInputMessage="1" showErrorMessage="1" error="XLBVal:6=767275.03_x000d__x000a_" sqref="E13:P13">
      <formula1>0</formula1>
      <formula2>300</formula2>
    </dataValidation>
    <dataValidation type="textLength" errorStyle="information" allowBlank="1" showInputMessage="1" showErrorMessage="1" error="XLBVal:6=29_x000d__x000a_" sqref="E113:P113">
      <formula1>0</formula1>
      <formula2>300</formula2>
    </dataValidation>
    <dataValidation type="textLength" errorStyle="information" allowBlank="1" showInputMessage="1" showErrorMessage="1" error="XLBVal:6=1352016.21_x000d__x000a_" sqref="I12">
      <formula1>0</formula1>
      <formula2>300</formula2>
    </dataValidation>
    <dataValidation type="textLength" errorStyle="information" allowBlank="1" showInputMessage="1" showErrorMessage="1" error="XLBVal:6=566186.09_x000d__x000a_" sqref="E14:I14">
      <formula1>0</formula1>
      <formula2>300</formula2>
    </dataValidation>
    <dataValidation type="textLength" errorStyle="information" allowBlank="1" showInputMessage="1" showErrorMessage="1" error="XLBVal:6=639338_x000d__x000a_" sqref="Q135 Q133">
      <formula1>0</formula1>
      <formula2>300</formula2>
    </dataValidation>
    <dataValidation type="textLength" errorStyle="information" allowBlank="1" showInputMessage="1" showErrorMessage="1" error="XLBVal:6=869763.24_x000d__x000a_" sqref="E15:I15">
      <formula1>0</formula1>
      <formula2>300</formula2>
    </dataValidation>
    <dataValidation type="textLength" errorStyle="information" allowBlank="1" showInputMessage="1" showErrorMessage="1" error="XLBVal:6=15900617_x000d__x000a_" sqref="Q15 Q23:Q29">
      <formula1>0</formula1>
      <formula2>300</formula2>
    </dataValidation>
    <dataValidation type="textLength" errorStyle="information" allowBlank="1" showInputMessage="1" showErrorMessage="1" error="XLBVal:6=410236.35_x000d__x000a_" sqref="E33:P33">
      <formula1>0</formula1>
      <formula2>300</formula2>
    </dataValidation>
    <dataValidation type="textLength" errorStyle="information" allowBlank="1" showInputMessage="1" showErrorMessage="1" error="XLBVal:6=259666.05_x000d__x000a_" sqref="E16:P16">
      <formula1>0</formula1>
      <formula2>300</formula2>
    </dataValidation>
    <dataValidation type="textLength" errorStyle="information" allowBlank="1" showInputMessage="1" showErrorMessage="1" error="XLBVal:2=0_x000d__x000a_" sqref="Q16 Q19 Q45 Q92 E109:P110 E103:Q103 Q123 Q131 Q145 E148:P154 Q37:Q42 Q48:Q49 Q53:Q54 Q57:Q58 Q60:Q63 Q65:Q70 Q72:Q89 Q96:Q101 Q108:Q110 Q148:Q151">
      <formula1>0</formula1>
      <formula2>300</formula2>
    </dataValidation>
    <dataValidation type="textLength" errorStyle="information" allowBlank="1" showInputMessage="1" showErrorMessage="1" sqref="F119:Q119 H128:I128 H137:I137 H147:I147 E119:E122 F120:I122 E157:E158 F158:I158 F157:Q157">
      <formula1>0</formula1>
      <formula2>300</formula2>
    </dataValidation>
    <dataValidation type="textLength" errorStyle="information" allowBlank="1" showInputMessage="1" showErrorMessage="1" error="XLBVal:6=3293096_x000d__x000a_" sqref="Q43">
      <formula1>0</formula1>
      <formula2>300</formula2>
    </dataValidation>
    <dataValidation type="textLength" errorStyle="information" allowBlank="1" showInputMessage="1" showErrorMessage="1" error="XLBVal:6=267888.3_x000d__x000a_" sqref="E18:P18">
      <formula1>0</formula1>
      <formula2>300</formula2>
    </dataValidation>
    <dataValidation type="textLength" errorStyle="information" allowBlank="1" showInputMessage="1" showErrorMessage="1" error="XLBVal:6=25021127_x000d__x000a_" sqref="Q18">
      <formula1>0</formula1>
      <formula2>300</formula2>
    </dataValidation>
    <dataValidation type="textLength" errorStyle="information" allowBlank="1" showInputMessage="1" showErrorMessage="1" error="XLBVal:6=6864605_x000d__x000a_" sqref="Q51">
      <formula1>0</formula1>
      <formula2>300</formula2>
    </dataValidation>
    <dataValidation type="textLength" errorStyle="information" allowBlank="1" showInputMessage="1" showErrorMessage="1" error="XLBVal:6=514.58_x000d__x000a_" sqref="E19:P19">
      <formula1>0</formula1>
      <formula2>300</formula2>
    </dataValidation>
    <dataValidation type="textLength" errorStyle="information" allowBlank="1" showInputMessage="1" showErrorMessage="1" error="XLBVal:5=0_x000d__x000a_" sqref="F32 F21:F23">
      <formula1>0</formula1>
      <formula2>300</formula2>
    </dataValidation>
    <dataValidation type="textLength" errorStyle="information" allowBlank="1" showInputMessage="1" showErrorMessage="1" error="XLBVal:5=1616616_x000d__x000a_" sqref="G32 G21:G23">
      <formula1>0</formula1>
      <formula2>300</formula2>
    </dataValidation>
    <dataValidation type="textLength" errorStyle="information" allowBlank="1" showInputMessage="1" showErrorMessage="1" error="XLBVal:6=31_x000d__x000a_" sqref="E112:P112">
      <formula1>0</formula1>
      <formula2>300</formula2>
    </dataValidation>
    <dataValidation type="textLength" errorStyle="information" allowBlank="1" showInputMessage="1" showErrorMessage="1" error="XLBVal:5=-331377.43_x000d__x000a_" sqref="I32 J23:P27 I21:I27">
      <formula1>0</formula1>
      <formula2>300</formula2>
    </dataValidation>
    <dataValidation type="textLength" errorStyle="information" allowBlank="1" showInputMessage="1" showErrorMessage="1" error="XLBVal:6=18155331_x000d__x000a_" sqref="Q33">
      <formula1>0</formula1>
      <formula2>300</formula2>
    </dataValidation>
    <dataValidation type="textLength" errorStyle="information" allowBlank="1" showInputMessage="1" showErrorMessage="1" error="XLBVal:6=10508400_x000d__x000a_" sqref="Q36">
      <formula1>0</formula1>
      <formula2>300</formula2>
    </dataValidation>
    <dataValidation type="textLength" errorStyle="information" allowBlank="1" showInputMessage="1" showErrorMessage="1" error="XLBVal:6=224000_x000d__x000a_" sqref="Q44">
      <formula1>0</formula1>
      <formula2>300</formula2>
    </dataValidation>
    <dataValidation type="textLength" errorStyle="information" allowBlank="1" showInputMessage="1" showErrorMessage="1" error="XLBVal:6=0_x000d__x000a_" sqref="Q46 E104:Q105">
      <formula1>0</formula1>
      <formula2>300</formula2>
    </dataValidation>
    <dataValidation type="textLength" errorStyle="information" allowBlank="1" showInputMessage="1" showErrorMessage="1" error="XLBVal:6=38000_x000d__x000a_" sqref="Q47">
      <formula1>0</formula1>
      <formula2>300</formula2>
    </dataValidation>
    <dataValidation type="textLength" errorStyle="information" allowBlank="1" showInputMessage="1" showErrorMessage="1" error="XLBVal:6=30984_x000d__x000a_" sqref="Q50">
      <formula1>0</formula1>
      <formula2>300</formula2>
    </dataValidation>
    <dataValidation type="textLength" errorStyle="information" allowBlank="1" showInputMessage="1" showErrorMessage="1" error="XLBVal:6=936822_x000d__x000a_" sqref="Q126">
      <formula1>0</formula1>
      <formula2>300</formula2>
    </dataValidation>
    <dataValidation type="textLength" errorStyle="information" allowBlank="1" showInputMessage="1" showErrorMessage="1" error="XLBVal:6=812280_x000d__x000a_" sqref="Q52">
      <formula1>0</formula1>
      <formula2>300</formula2>
    </dataValidation>
    <dataValidation type="textLength" errorStyle="information" allowBlank="1" showInputMessage="1" showErrorMessage="1" error="XLBVal:6=45391_x000d__x000a_" sqref="Q55">
      <formula1>0</formula1>
      <formula2>300</formula2>
    </dataValidation>
    <dataValidation type="textLength" errorStyle="information" allowBlank="1" showInputMessage="1" showErrorMessage="1" error="XLBVal:6=604513_x000d__x000a_" sqref="Q59">
      <formula1>0</formula1>
      <formula2>300</formula2>
    </dataValidation>
    <dataValidation type="textLength" errorStyle="information" allowBlank="1" showInputMessage="1" showErrorMessage="1" error="XLBVal:6=133777_x000d__x000a_" sqref="Q64">
      <formula1>0</formula1>
      <formula2>300</formula2>
    </dataValidation>
    <dataValidation type="textLength" errorStyle="information" allowBlank="1" showInputMessage="1" showErrorMessage="1" error="XLBVal:6=1640556_x000d__x000a_" sqref="Q130">
      <formula1>0</formula1>
      <formula2>300</formula2>
    </dataValidation>
    <dataValidation type="textLength" errorStyle="information" allowBlank="1" showInputMessage="1" showErrorMessage="1" error="XLBVal:6=497000_x000d__x000a_" sqref="Q71">
      <formula1>0</formula1>
      <formula2>300</formula2>
    </dataValidation>
    <dataValidation type="textLength" errorStyle="information" allowBlank="1" showInputMessage="1" showErrorMessage="1" error="XLBVal:6=128852_x000d__x000a_" sqref="Q90">
      <formula1>0</formula1>
      <formula2>300</formula2>
    </dataValidation>
    <dataValidation type="textLength" errorStyle="information" allowBlank="1" showInputMessage="1" showErrorMessage="1" error="XLBVal:6=2195857_x000d__x000a_" sqref="Q91">
      <formula1>0</formula1>
      <formula2>300</formula2>
    </dataValidation>
    <dataValidation type="textLength" errorStyle="information" allowBlank="1" showInputMessage="1" showErrorMessage="1" error="XLBVal:6=913200_x000d__x000a_" sqref="Q93:Q94">
      <formula1>0</formula1>
      <formula2>300</formula2>
    </dataValidation>
    <dataValidation type="textLength" errorStyle="information" allowBlank="1" showInputMessage="1" showErrorMessage="1" error="XLBVal:6=78120_x000d__x000a_" sqref="Q95">
      <formula1>0</formula1>
      <formula2>300</formula2>
    </dataValidation>
    <dataValidation type="textLength" errorStyle="information" allowBlank="1" showInputMessage="1" showErrorMessage="1" error="XLBVal:6=3239.86_x000d__x000a_" sqref="E106">
      <formula1>0</formula1>
      <formula2>300</formula2>
    </dataValidation>
    <dataValidation type="textLength" errorStyle="information" allowBlank="1" showInputMessage="1" showErrorMessage="1" error="XLBVal:5=-1569170.59_x000d__x000a_" sqref="H106">
      <formula1>0</formula1>
      <formula2>300</formula2>
    </dataValidation>
    <dataValidation type="textLength" errorStyle="information" allowBlank="1" showInputMessage="1" showErrorMessage="1" error="XLBVal:6=3900.82_x000d__x000a_" sqref="F106">
      <formula1>0</formula1>
      <formula2>300</formula2>
    </dataValidation>
    <dataValidation type="textLength" errorStyle="information" allowBlank="1" showInputMessage="1" showErrorMessage="1" error="XLBVal:5=-677276.26_x000d__x000a_" sqref="I106">
      <formula1>0</formula1>
      <formula2>300</formula2>
    </dataValidation>
    <dataValidation type="textLength" errorStyle="information" allowBlank="1" showInputMessage="1" showErrorMessage="1" error="XLBVal:6=5022_x000d__x000a_" sqref="E107:P107">
      <formula1>0</formula1>
      <formula2>300</formula2>
    </dataValidation>
    <dataValidation type="textLength" errorStyle="information" allowBlank="1" showInputMessage="1" showErrorMessage="1" error="XLBVal:6=246375_x000d__x000a_" sqref="Q107">
      <formula1>0</formula1>
      <formula2>300</formula2>
    </dataValidation>
    <dataValidation type="textLength" errorStyle="information" allowBlank="1" showInputMessage="1" showErrorMessage="1" error="XLBVal:6=2500_x000d__x000a_" sqref="E108:P108">
      <formula1>0</formula1>
      <formula2>300</formula2>
    </dataValidation>
    <dataValidation type="textLength" errorStyle="information" allowBlank="1" showInputMessage="1" showErrorMessage="1" error="XLBVal:6=2462_x000d__x000a_" sqref="E111:P111">
      <formula1>0</formula1>
      <formula2>300</formula2>
    </dataValidation>
    <dataValidation type="textLength" errorStyle="information" allowBlank="1" showInputMessage="1" showErrorMessage="1" error="XLBVal:6=1074_x000d__x000a_" sqref="E114:Q114">
      <formula1>0</formula1>
      <formula2>300</formula2>
    </dataValidation>
    <dataValidation type="textLength" errorStyle="information" allowBlank="1" showInputMessage="1" showErrorMessage="1" error="XLBVal:6=2793648_x000d__x000a_" sqref="Q124">
      <formula1>0</formula1>
      <formula2>300</formula2>
    </dataValidation>
    <dataValidation type="textLength" errorStyle="information" allowBlank="1" showInputMessage="1" showErrorMessage="1" error="XLBVal:6=4690050_x000d__x000a_" sqref="Q125">
      <formula1>0</formula1>
      <formula2>300</formula2>
    </dataValidation>
    <dataValidation type="textLength" errorStyle="information" allowBlank="1" showInputMessage="1" showErrorMessage="1" error="XLBVal:6=447561_x000d__x000a_" sqref="Q129">
      <formula1>0</formula1>
      <formula2>300</formula2>
    </dataValidation>
    <dataValidation type="textLength" errorStyle="information" allowBlank="1" showInputMessage="1" showErrorMessage="1" error="XLBVal:6=39534_x000d__x000a_" sqref="Q140">
      <formula1>0</formula1>
      <formula2>300</formula2>
    </dataValidation>
    <dataValidation type="textLength" errorStyle="information" allowBlank="1" showInputMessage="1" showErrorMessage="1" error="XLBVal:6=3_x000d__x000a_" sqref="Q134 Q132">
      <formula1>0</formula1>
      <formula2>300</formula2>
    </dataValidation>
    <dataValidation type="textLength" errorStyle="information" allowBlank="1" showInputMessage="1" showErrorMessage="1" error="XLBVal:6=61096.6_x000d__x000a_" sqref="E123:P126 E129:P135">
      <formula1>0</formula1>
      <formula2>300</formula2>
    </dataValidation>
    <dataValidation type="textLength" errorStyle="information" allowBlank="1" showInputMessage="1" showErrorMessage="1" error="XLBVal:6=632410_x000d__x000a_" sqref="Q139">
      <formula1>0</formula1>
      <formula2>300</formula2>
    </dataValidation>
    <dataValidation type="textLength" errorStyle="information" allowBlank="1" showInputMessage="1" showErrorMessage="1" error="XLBVal:6=31710_x000d__x000a_" sqref="Q141">
      <formula1>0</formula1>
      <formula2>300</formula2>
    </dataValidation>
    <dataValidation type="textLength" errorStyle="information" allowBlank="1" showInputMessage="1" showErrorMessage="1" error="XLBVal:6=39654_x000d__x000a_" sqref="Q142">
      <formula1>0</formula1>
      <formula2>300</formula2>
    </dataValidation>
    <dataValidation type="textLength" errorStyle="information" allowBlank="1" showInputMessage="1" showErrorMessage="1" error="XLBVal:6=354026_x000d__x000a_" sqref="Q143">
      <formula1>0</formula1>
      <formula2>300</formula2>
    </dataValidation>
    <dataValidation type="textLength" errorStyle="information" allowBlank="1" showInputMessage="1" showErrorMessage="1" error="XLBVal:6=234560_x000d__x000a_" sqref="Q144">
      <formula1>0</formula1>
      <formula2>300</formula2>
    </dataValidation>
    <dataValidation type="textLength" errorStyle="information" allowBlank="1" showInputMessage="1" showErrorMessage="1" error="XLBVal:6=3678_x000d__x000a_" sqref="E147:G147">
      <formula1>0</formula1>
      <formula2>300</formula2>
    </dataValidation>
    <dataValidation type="textLength" errorStyle="information" allowBlank="1" showInputMessage="1" showErrorMessage="1" error="XLBVal:6=258096_x000d__x000a_" sqref="Q152">
      <formula1>0</formula1>
      <formula2>300</formula2>
    </dataValidation>
    <dataValidation type="textLength" errorStyle="information" allowBlank="1" showInputMessage="1" showErrorMessage="1" error="XLBVal:6=877776_x000d__x000a_" sqref="Q153">
      <formula1>0</formula1>
      <formula2>300</formula2>
    </dataValidation>
    <dataValidation type="textLength" errorStyle="information" allowBlank="1" showInputMessage="1" showErrorMessage="1" error="XLBVal:6=3099839_x000d__x000a_" sqref="Q154">
      <formula1>0</formula1>
      <formula2>300</formula2>
    </dataValidation>
    <dataValidation type="textLength" errorStyle="information" allowBlank="1" showInputMessage="1" showErrorMessage="1" error="XLBVal:6=33_x000d__x000a_" sqref="E159:P159">
      <formula1>0</formula1>
      <formula2>300</formula2>
    </dataValidation>
    <dataValidation type="textLength" errorStyle="information" allowBlank="1" showInputMessage="1" showErrorMessage="1" error="XLBVal:6=2544_x000d__x000a_" sqref="Q159">
      <formula1>0</formula1>
      <formula2>300</formula2>
    </dataValidation>
    <dataValidation type="textLength" errorStyle="information" allowBlank="1" showInputMessage="1" showErrorMessage="1" error="XLBVal:5=1285238.57_x000d__x000a_" sqref="F24:G31 Q30:Q31 I28:P31 H21:H32 E21:E32">
      <formula1>0</formula1>
      <formula2>300</formula2>
    </dataValidation>
    <dataValidation type="textLength" errorStyle="information" allowBlank="1" showInputMessage="1" showErrorMessage="1" error="XLBVal:6=6688509.16_x000d__x000a_" sqref="E35:P35">
      <formula1>0</formula1>
      <formula2>300</formula2>
    </dataValidation>
    <dataValidation type="textLength" errorStyle="information" allowBlank="1" showInputMessage="1" showErrorMessage="1" error="XLBVal:6=204520_x000d__x000a_" sqref="Q111:Q113">
      <formula1>0</formula1>
      <formula2>300</formula2>
    </dataValidation>
    <dataValidation type="textLength" errorStyle="information" allowBlank="1" showInputMessage="1" showErrorMessage="1" error="XLBVal:6=89906.52_x000d__x000a_" sqref="E36:P102">
      <formula1>0</formula1>
      <formula2>300</formula2>
    </dataValidation>
    <dataValidation type="textLength" errorStyle="information" allowBlank="1" showInputMessage="1" showErrorMessage="1" error="XLBVal:6=17458.16_x000d__x000a_" sqref="E138:P145">
      <formula1>0</formula1>
      <formula2>300</formula2>
    </dataValidation>
    <dataValidation type="textLength" errorStyle="information" allowBlank="1" showInputMessage="1" showErrorMessage="1" error="XLBVal:6=818186.05_x000d__x000a_" sqref="J12:P12 J14:P15">
      <formula1>0</formula1>
      <formula2>300</formula2>
    </dataValidation>
    <dataValidation type="textLength" errorStyle="information" allowBlank="1" showInputMessage="1" showErrorMessage="1" error="XLBVal:6=436_x000d__x000a_" sqref="E115:Q118">
      <formula1>0</formula1>
      <formula2>300</formula2>
    </dataValidation>
    <dataValidation type="textLength" errorStyle="information" allowBlank="1" showInputMessage="1" showErrorMessage="1" error="XLBVal:6=467_x000d__x000a_" sqref="P161:P16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4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Y122"/>
  <sheetViews>
    <sheetView zoomScale="55" zoomScaleNormal="55" zoomScaleSheetLayoutView="40" workbookViewId="0">
      <pane xSplit="4" ySplit="10" topLeftCell="E11" activePane="bottomRight" state="frozen"/>
      <selection activeCell="A77" sqref="A77:XFD77"/>
      <selection pane="topRight" activeCell="A77" sqref="A77:XFD77"/>
      <selection pane="bottomLeft" activeCell="A77" sqref="A77:XFD77"/>
      <selection pane="bottomRight" activeCell="E7" sqref="E7:P7"/>
    </sheetView>
  </sheetViews>
  <sheetFormatPr defaultColWidth="8.90625" defaultRowHeight="26.25" customHeight="1" outlineLevelRow="1" outlineLevelCol="1"/>
  <cols>
    <col min="1" max="1" width="29.453125" style="5" hidden="1" customWidth="1" outlineLevel="1"/>
    <col min="2" max="3" width="15.453125" style="5" hidden="1" customWidth="1" outlineLevel="1"/>
    <col min="4" max="4" width="88.08984375" style="6" customWidth="1" collapsed="1"/>
    <col min="5" max="9" width="24.90625" style="7" customWidth="1"/>
    <col min="10" max="11" width="24.90625" style="174" customWidth="1"/>
    <col min="12" max="12" width="24.90625" style="5" customWidth="1"/>
    <col min="13" max="17" width="24.90625" style="174" customWidth="1"/>
    <col min="18" max="18" width="12.453125" style="174" customWidth="1"/>
    <col min="19" max="19" width="22.453125" style="178" hidden="1" customWidth="1"/>
    <col min="20" max="20" width="22.453125" style="179" hidden="1" customWidth="1"/>
    <col min="21" max="21" width="22.36328125" style="174" bestFit="1" customWidth="1"/>
    <col min="22" max="22" width="13.6328125" style="174" bestFit="1" customWidth="1"/>
    <col min="23" max="16384" width="8.90625" style="174"/>
  </cols>
  <sheetData>
    <row r="1" spans="1:20" s="1" customFormat="1" ht="15" hidden="1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  <c r="T1" s="167"/>
    </row>
    <row r="2" spans="1:20" s="1" customFormat="1" ht="15" hidden="1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  <c r="T2" s="167"/>
    </row>
    <row r="3" spans="1:20" s="1" customFormat="1" ht="15" hidden="1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  <c r="T3" s="167"/>
    </row>
    <row r="4" spans="1:20" s="2" customFormat="1" ht="25.4" customHeight="1" collapsed="1">
      <c r="D4" s="10" t="str">
        <f>Summary!D4</f>
        <v>Hotel Budget Report</v>
      </c>
      <c r="E4" s="11"/>
      <c r="F4" s="11"/>
      <c r="G4" s="12"/>
      <c r="H4" s="13"/>
      <c r="I4" s="13"/>
      <c r="S4" s="33"/>
      <c r="T4" s="180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  <c r="T5" s="180"/>
    </row>
    <row r="6" spans="1:20" s="2" customFormat="1" ht="25.4" customHeight="1">
      <c r="D6" s="14" t="s">
        <v>355</v>
      </c>
      <c r="E6" s="13"/>
      <c r="F6" s="13"/>
      <c r="G6" s="13"/>
      <c r="H6" s="13"/>
      <c r="I6" s="13"/>
      <c r="S6" s="33"/>
      <c r="T6" s="180"/>
    </row>
    <row r="7" spans="1:20" s="2" customFormat="1" ht="25.4" customHeight="1">
      <c r="D7" s="10">
        <f>Parameter!H4</f>
        <v>2025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S7" s="33"/>
      <c r="T7" s="180"/>
    </row>
    <row r="8" spans="1:20" ht="25.4" customHeight="1">
      <c r="A8" s="174"/>
      <c r="B8" s="174"/>
      <c r="C8" s="174"/>
      <c r="D8" s="175"/>
      <c r="E8" s="176"/>
      <c r="F8" s="176"/>
      <c r="G8" s="176"/>
      <c r="H8" s="176"/>
      <c r="I8" s="17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  <c r="T9" s="108"/>
    </row>
    <row r="10" spans="1:20" s="4" customFormat="1" ht="40.4" customHeight="1">
      <c r="A10" s="19" t="s">
        <v>18</v>
      </c>
      <c r="B10" s="19" t="s">
        <v>19</v>
      </c>
      <c r="C10" s="19" t="s">
        <v>114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A11" s="3" t="s">
        <v>106</v>
      </c>
      <c r="B11" s="50" t="s">
        <v>356</v>
      </c>
      <c r="D11" s="21" t="s">
        <v>139</v>
      </c>
      <c r="E11" s="45">
        <f>E117</f>
        <v>204493.78</v>
      </c>
      <c r="F11" s="45">
        <f t="shared" ref="F11:P11" si="0">F117</f>
        <v>179165.59</v>
      </c>
      <c r="G11" s="45">
        <f t="shared" si="0"/>
        <v>178502.11000000002</v>
      </c>
      <c r="H11" s="45">
        <f t="shared" si="0"/>
        <v>190953.5</v>
      </c>
      <c r="I11" s="45">
        <f t="shared" si="0"/>
        <v>195586.14</v>
      </c>
      <c r="J11" s="45">
        <f t="shared" si="0"/>
        <v>182042.71000000002</v>
      </c>
      <c r="K11" s="45">
        <f t="shared" si="0"/>
        <v>181759.11000000002</v>
      </c>
      <c r="L11" s="45">
        <f t="shared" si="0"/>
        <v>181794.91</v>
      </c>
      <c r="M11" s="45">
        <f t="shared" si="0"/>
        <v>181826.31</v>
      </c>
      <c r="N11" s="45">
        <f t="shared" si="0"/>
        <v>208104.25</v>
      </c>
      <c r="O11" s="45">
        <f t="shared" si="0"/>
        <v>181658.71000000002</v>
      </c>
      <c r="P11" s="45">
        <f t="shared" si="0"/>
        <v>181572.12999999998</v>
      </c>
      <c r="Q11" s="169">
        <f>SUM(E11:P11)</f>
        <v>2247459.25</v>
      </c>
      <c r="R11" s="39">
        <f>Q11/'Rooms Summary'!$Q$20</f>
        <v>5.1131210324561152E-2</v>
      </c>
      <c r="S11" s="35"/>
      <c r="T11" s="40" t="e">
        <f>-IF(Q11-S11=0,0,(Q11-S11)/S11)</f>
        <v>#DIV/0!</v>
      </c>
    </row>
    <row r="12" spans="1:20" s="3" customFormat="1" ht="25.4" customHeight="1">
      <c r="D12" s="261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3">
        <f>SUM(E12:P12)</f>
        <v>0</v>
      </c>
      <c r="R12" s="34"/>
      <c r="S12" s="35"/>
      <c r="T12" s="108"/>
    </row>
    <row r="13" spans="1:20" s="3" customFormat="1" ht="25.4" customHeight="1">
      <c r="D13" s="21" t="s">
        <v>140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3">
        <f>SUM(E13:P13)</f>
        <v>0</v>
      </c>
      <c r="R13" s="34" t="s">
        <v>141</v>
      </c>
      <c r="S13" s="35"/>
      <c r="T13" s="108"/>
    </row>
    <row r="14" spans="1:20" s="3" customFormat="1" ht="25.4" customHeight="1">
      <c r="A14" s="3" t="s">
        <v>142</v>
      </c>
      <c r="B14" s="50" t="s">
        <v>356</v>
      </c>
      <c r="D14" s="26" t="s">
        <v>143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1">
        <f>SUM(E14:P14)</f>
        <v>0</v>
      </c>
      <c r="R14" s="61">
        <f>Q14/'Rooms Summary'!$Q$111</f>
        <v>0</v>
      </c>
      <c r="S14" s="35"/>
      <c r="T14" s="108" t="e">
        <f t="shared" ref="T14:T17" si="1">(Q14-S14)/S14</f>
        <v>#DIV/0!</v>
      </c>
    </row>
    <row r="15" spans="1:20" s="3" customFormat="1" ht="25.4" customHeight="1">
      <c r="A15" s="3" t="s">
        <v>144</v>
      </c>
      <c r="B15" s="50" t="s">
        <v>356</v>
      </c>
      <c r="D15" s="26" t="s">
        <v>145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1">
        <f t="shared" ref="Q15:Q19" si="2">SUM(E15:P15)</f>
        <v>0</v>
      </c>
      <c r="R15" s="61">
        <f>Q15/'Rooms Summary'!$Q$111</f>
        <v>0</v>
      </c>
      <c r="S15" s="35"/>
      <c r="T15" s="108" t="e">
        <f t="shared" si="1"/>
        <v>#DIV/0!</v>
      </c>
    </row>
    <row r="16" spans="1:20" s="3" customFormat="1" ht="25.4" customHeight="1">
      <c r="A16" s="3" t="s">
        <v>146</v>
      </c>
      <c r="B16" s="50" t="s">
        <v>356</v>
      </c>
      <c r="D16" s="26" t="s">
        <v>147</v>
      </c>
      <c r="E16" s="63">
        <v>4273.5</v>
      </c>
      <c r="F16" s="63">
        <v>11356.5</v>
      </c>
      <c r="G16" s="63">
        <v>2025</v>
      </c>
      <c r="H16" s="63">
        <v>2058</v>
      </c>
      <c r="I16" s="63">
        <v>3036</v>
      </c>
      <c r="J16" s="63">
        <v>1179</v>
      </c>
      <c r="K16" s="63">
        <v>2880</v>
      </c>
      <c r="L16" s="63">
        <v>4517.0999999999995</v>
      </c>
      <c r="M16" s="63">
        <v>1179</v>
      </c>
      <c r="N16" s="63">
        <v>2784</v>
      </c>
      <c r="O16" s="63">
        <v>3798</v>
      </c>
      <c r="P16" s="63">
        <v>3798</v>
      </c>
      <c r="Q16" s="61">
        <f t="shared" si="2"/>
        <v>42884.1</v>
      </c>
      <c r="R16" s="61">
        <f>Q16/'Rooms Summary'!$Q$111</f>
        <v>1.5634583834627584</v>
      </c>
      <c r="S16" s="35"/>
      <c r="T16" s="108" t="e">
        <f t="shared" si="1"/>
        <v>#DIV/0!</v>
      </c>
    </row>
    <row r="17" spans="1:20" s="3" customFormat="1" ht="25.4" customHeight="1">
      <c r="A17" s="3" t="s">
        <v>148</v>
      </c>
      <c r="B17" s="50" t="s">
        <v>356</v>
      </c>
      <c r="D17" s="26" t="s">
        <v>149</v>
      </c>
      <c r="E17" s="63">
        <v>180918</v>
      </c>
      <c r="F17" s="63">
        <v>318481.95199999999</v>
      </c>
      <c r="G17" s="63">
        <v>111522.4</v>
      </c>
      <c r="H17" s="63">
        <v>119312.4</v>
      </c>
      <c r="I17" s="63">
        <v>185456.72</v>
      </c>
      <c r="J17" s="63">
        <v>115428.79999999999</v>
      </c>
      <c r="K17" s="63">
        <v>211006.4</v>
      </c>
      <c r="L17" s="63">
        <v>237477.19999999998</v>
      </c>
      <c r="M17" s="63">
        <v>121866</v>
      </c>
      <c r="N17" s="63">
        <v>201723</v>
      </c>
      <c r="O17" s="63">
        <v>135899.4</v>
      </c>
      <c r="P17" s="63">
        <v>172657.56</v>
      </c>
      <c r="Q17" s="61">
        <f t="shared" si="2"/>
        <v>2111749.8319999995</v>
      </c>
      <c r="R17" s="61">
        <f>Q17/'Rooms Summary'!$Q$111</f>
        <v>76.989676327974024</v>
      </c>
      <c r="S17" s="35"/>
      <c r="T17" s="108" t="e">
        <f t="shared" si="1"/>
        <v>#DIV/0!</v>
      </c>
    </row>
    <row r="18" spans="1:20" s="3" customFormat="1" ht="25.4" customHeight="1">
      <c r="A18" s="3" t="s">
        <v>150</v>
      </c>
      <c r="B18" s="50" t="s">
        <v>356</v>
      </c>
      <c r="D18" s="26" t="s">
        <v>151</v>
      </c>
      <c r="E18" s="63">
        <v>6900</v>
      </c>
      <c r="F18" s="63">
        <v>8800</v>
      </c>
      <c r="G18" s="63">
        <v>6900</v>
      </c>
      <c r="H18" s="63">
        <v>6900</v>
      </c>
      <c r="I18" s="63">
        <v>6900</v>
      </c>
      <c r="J18" s="63">
        <v>6900</v>
      </c>
      <c r="K18" s="63">
        <v>11500</v>
      </c>
      <c r="L18" s="63">
        <v>11500</v>
      </c>
      <c r="M18" s="63">
        <v>6900</v>
      </c>
      <c r="N18" s="63">
        <v>7600</v>
      </c>
      <c r="O18" s="63">
        <v>6900</v>
      </c>
      <c r="P18" s="63">
        <v>7200</v>
      </c>
      <c r="Q18" s="61">
        <f t="shared" si="2"/>
        <v>94900</v>
      </c>
      <c r="R18" s="61">
        <f>Q18/'Rooms Summary'!$Q$111</f>
        <v>3.4598417733056253</v>
      </c>
      <c r="S18" s="35"/>
      <c r="T18" s="40" t="e">
        <f>-IF(Q18-S18=0,0,(Q18-S18)/S18)</f>
        <v>#DIV/0!</v>
      </c>
    </row>
    <row r="19" spans="1:20" s="3" customFormat="1" ht="25.4" customHeight="1">
      <c r="A19" s="3" t="s">
        <v>152</v>
      </c>
      <c r="B19" s="50" t="s">
        <v>356</v>
      </c>
      <c r="D19" s="26" t="s">
        <v>153</v>
      </c>
      <c r="E19" s="63">
        <f>27*'Rooms Summary'!E111</f>
        <v>48330</v>
      </c>
      <c r="F19" s="63">
        <f>27*'Rooms Summary'!F111</f>
        <v>68256</v>
      </c>
      <c r="G19" s="63">
        <f>27*'Rooms Summary'!G111</f>
        <v>52407</v>
      </c>
      <c r="H19" s="63">
        <f>27*'Rooms Summary'!H111</f>
        <v>53568</v>
      </c>
      <c r="I19" s="63">
        <f>27*'Rooms Summary'!I111</f>
        <v>60291</v>
      </c>
      <c r="J19" s="63">
        <f>27*'Rooms Summary'!J111</f>
        <v>52380</v>
      </c>
      <c r="K19" s="63">
        <f>27*'Rooms Summary'!K111</f>
        <v>81054</v>
      </c>
      <c r="L19" s="63">
        <f>27*'Rooms Summary'!L111</f>
        <v>86373</v>
      </c>
      <c r="M19" s="63">
        <f>27*'Rooms Summary'!M111</f>
        <v>49545</v>
      </c>
      <c r="N19" s="63">
        <f>27*'Rooms Summary'!N111</f>
        <v>62127</v>
      </c>
      <c r="O19" s="63">
        <f>27*'Rooms Summary'!O111</f>
        <v>59238</v>
      </c>
      <c r="P19" s="63">
        <f>27*'Rooms Summary'!P111</f>
        <v>67014</v>
      </c>
      <c r="Q19" s="61">
        <f t="shared" si="2"/>
        <v>740583</v>
      </c>
      <c r="R19" s="61">
        <f>Q19/'Rooms Summary'!$Q$111</f>
        <v>27</v>
      </c>
      <c r="S19" s="35"/>
      <c r="T19" s="40" t="e">
        <f t="shared" ref="T19:T82" si="3">-IF(Q19-S19=0,0,(Q19-S19)/S19)</f>
        <v>#DIV/0!</v>
      </c>
    </row>
    <row r="20" spans="1:20" s="3" customFormat="1" ht="25.4" customHeight="1">
      <c r="A20" s="3" t="s">
        <v>154</v>
      </c>
      <c r="B20" s="50" t="s">
        <v>356</v>
      </c>
      <c r="D20" s="26" t="s">
        <v>155</v>
      </c>
      <c r="E20" s="63"/>
      <c r="F20" s="63"/>
      <c r="G20" s="63"/>
      <c r="H20" s="63"/>
      <c r="I20" s="63"/>
      <c r="J20" s="61"/>
      <c r="K20" s="61"/>
      <c r="L20" s="61"/>
      <c r="M20" s="61"/>
      <c r="N20" s="61"/>
      <c r="O20" s="61"/>
      <c r="P20" s="61"/>
      <c r="Q20" s="61">
        <f t="shared" ref="Q20:Q80" si="4">SUM(E20:P20)</f>
        <v>0</v>
      </c>
      <c r="R20" s="61">
        <f>Q20/'Rooms Summary'!$Q$111</f>
        <v>0</v>
      </c>
      <c r="S20" s="35"/>
      <c r="T20" s="40">
        <f t="shared" si="3"/>
        <v>0</v>
      </c>
    </row>
    <row r="21" spans="1:20" s="3" customFormat="1" ht="25.4" customHeight="1">
      <c r="A21" s="3" t="s">
        <v>156</v>
      </c>
      <c r="B21" s="50" t="s">
        <v>356</v>
      </c>
      <c r="D21" s="26" t="s">
        <v>157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1">
        <f t="shared" si="4"/>
        <v>0</v>
      </c>
      <c r="R21" s="61">
        <f>Q21/'Rooms Summary'!$Q$111</f>
        <v>0</v>
      </c>
      <c r="S21" s="35"/>
      <c r="T21" s="40">
        <f t="shared" si="3"/>
        <v>0</v>
      </c>
    </row>
    <row r="22" spans="1:20" s="3" customFormat="1" ht="24.75" customHeight="1">
      <c r="A22" s="3" t="s">
        <v>158</v>
      </c>
      <c r="B22" s="50" t="s">
        <v>356</v>
      </c>
      <c r="D22" s="26" t="s">
        <v>159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1">
        <f t="shared" si="4"/>
        <v>0</v>
      </c>
      <c r="R22" s="61">
        <f>Q22/'Rooms Summary'!$Q$111</f>
        <v>0</v>
      </c>
      <c r="S22" s="35"/>
      <c r="T22" s="40"/>
    </row>
    <row r="23" spans="1:20" s="3" customFormat="1" ht="25.4" customHeight="1">
      <c r="A23" s="3" t="s">
        <v>160</v>
      </c>
      <c r="B23" s="50" t="s">
        <v>356</v>
      </c>
      <c r="D23" s="26" t="s">
        <v>161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1">
        <f t="shared" si="4"/>
        <v>0</v>
      </c>
      <c r="R23" s="61">
        <f>Q23/'Rooms Summary'!$Q$111</f>
        <v>0</v>
      </c>
      <c r="S23" s="35"/>
      <c r="T23" s="108">
        <f t="shared" si="3"/>
        <v>0</v>
      </c>
    </row>
    <row r="24" spans="1:20" s="3" customFormat="1" ht="25.4" customHeight="1">
      <c r="A24" s="3" t="s">
        <v>162</v>
      </c>
      <c r="B24" s="50" t="s">
        <v>356</v>
      </c>
      <c r="D24" s="26" t="s">
        <v>163</v>
      </c>
      <c r="E24" s="63">
        <f>20260/12</f>
        <v>1688.3333333333333</v>
      </c>
      <c r="F24" s="63">
        <f t="shared" ref="F24:P24" si="5">20260/12</f>
        <v>1688.3333333333333</v>
      </c>
      <c r="G24" s="63">
        <f t="shared" si="5"/>
        <v>1688.3333333333333</v>
      </c>
      <c r="H24" s="63">
        <f t="shared" si="5"/>
        <v>1688.3333333333333</v>
      </c>
      <c r="I24" s="63">
        <f t="shared" si="5"/>
        <v>1688.3333333333333</v>
      </c>
      <c r="J24" s="63">
        <f t="shared" si="5"/>
        <v>1688.3333333333333</v>
      </c>
      <c r="K24" s="63">
        <f t="shared" si="5"/>
        <v>1688.3333333333333</v>
      </c>
      <c r="L24" s="63">
        <f t="shared" si="5"/>
        <v>1688.3333333333333</v>
      </c>
      <c r="M24" s="63">
        <f t="shared" si="5"/>
        <v>1688.3333333333333</v>
      </c>
      <c r="N24" s="63">
        <f t="shared" si="5"/>
        <v>1688.3333333333333</v>
      </c>
      <c r="O24" s="63">
        <f t="shared" si="5"/>
        <v>1688.3333333333333</v>
      </c>
      <c r="P24" s="63">
        <f t="shared" si="5"/>
        <v>1688.3333333333333</v>
      </c>
      <c r="Q24" s="61">
        <f t="shared" si="4"/>
        <v>20260</v>
      </c>
      <c r="R24" s="61">
        <f>Q24/'Rooms Summary'!$Q$111</f>
        <v>0.73863429217251819</v>
      </c>
      <c r="S24" s="35"/>
      <c r="T24" s="108" t="e">
        <f t="shared" si="3"/>
        <v>#DIV/0!</v>
      </c>
    </row>
    <row r="25" spans="1:20" s="3" customFormat="1" ht="25.4" customHeight="1">
      <c r="A25" s="3" t="s">
        <v>164</v>
      </c>
      <c r="B25" s="50" t="s">
        <v>356</v>
      </c>
      <c r="D25" s="26" t="s">
        <v>165</v>
      </c>
      <c r="E25" s="63">
        <v>3600</v>
      </c>
      <c r="F25" s="63">
        <v>4800</v>
      </c>
      <c r="G25" s="63">
        <v>3600</v>
      </c>
      <c r="H25" s="63">
        <v>3600</v>
      </c>
      <c r="I25" s="63">
        <v>4800</v>
      </c>
      <c r="J25" s="63">
        <v>3600</v>
      </c>
      <c r="K25" s="63">
        <v>6000</v>
      </c>
      <c r="L25" s="63">
        <v>6000</v>
      </c>
      <c r="M25" s="63">
        <v>3000</v>
      </c>
      <c r="N25" s="63">
        <v>4800</v>
      </c>
      <c r="O25" s="63">
        <v>4000</v>
      </c>
      <c r="P25" s="63">
        <v>4600</v>
      </c>
      <c r="Q25" s="61">
        <f t="shared" si="4"/>
        <v>52400</v>
      </c>
      <c r="R25" s="61">
        <f>Q25/'Rooms Summary'!$Q$111</f>
        <v>1.910386816872653</v>
      </c>
      <c r="S25" s="35"/>
      <c r="T25" s="40" t="e">
        <f t="shared" si="3"/>
        <v>#DIV/0!</v>
      </c>
    </row>
    <row r="26" spans="1:20" s="3" customFormat="1" ht="25.4" customHeight="1">
      <c r="A26" s="3" t="s">
        <v>166</v>
      </c>
      <c r="B26" s="50" t="s">
        <v>356</v>
      </c>
      <c r="D26" s="26" t="s">
        <v>167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1">
        <f t="shared" si="4"/>
        <v>0</v>
      </c>
      <c r="R26" s="61">
        <f>Q26/'Rooms Summary'!$Q$111</f>
        <v>0</v>
      </c>
      <c r="S26" s="35"/>
      <c r="T26" s="40">
        <f t="shared" si="3"/>
        <v>0</v>
      </c>
    </row>
    <row r="27" spans="1:20" s="3" customFormat="1" ht="25.4" customHeight="1">
      <c r="A27" s="3" t="s">
        <v>168</v>
      </c>
      <c r="B27" s="50" t="s">
        <v>356</v>
      </c>
      <c r="D27" s="26" t="s">
        <v>169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1">
        <f t="shared" si="4"/>
        <v>0</v>
      </c>
      <c r="R27" s="61">
        <f>Q27/'Rooms Summary'!$Q$111</f>
        <v>0</v>
      </c>
      <c r="S27" s="35"/>
      <c r="T27" s="40">
        <f t="shared" si="3"/>
        <v>0</v>
      </c>
    </row>
    <row r="28" spans="1:20" s="3" customFormat="1" ht="25.4" customHeight="1">
      <c r="A28" s="3" t="s">
        <v>170</v>
      </c>
      <c r="B28" s="50" t="s">
        <v>356</v>
      </c>
      <c r="D28" s="26" t="s">
        <v>171</v>
      </c>
      <c r="E28" s="63">
        <v>135</v>
      </c>
      <c r="F28" s="63">
        <v>135</v>
      </c>
      <c r="G28" s="63">
        <v>135</v>
      </c>
      <c r="H28" s="63">
        <v>135</v>
      </c>
      <c r="I28" s="63">
        <v>135</v>
      </c>
      <c r="J28" s="63">
        <v>135</v>
      </c>
      <c r="K28" s="63">
        <v>135</v>
      </c>
      <c r="L28" s="63">
        <v>135</v>
      </c>
      <c r="M28" s="63">
        <v>135</v>
      </c>
      <c r="N28" s="63">
        <v>135</v>
      </c>
      <c r="O28" s="63">
        <v>135</v>
      </c>
      <c r="P28" s="63">
        <v>135</v>
      </c>
      <c r="Q28" s="61">
        <f t="shared" si="4"/>
        <v>1620</v>
      </c>
      <c r="R28" s="61">
        <f>Q28/'Rooms Summary'!$Q$111</f>
        <v>5.9061577162856829E-2</v>
      </c>
      <c r="S28" s="35"/>
      <c r="T28" s="40" t="e">
        <f t="shared" si="3"/>
        <v>#DIV/0!</v>
      </c>
    </row>
    <row r="29" spans="1:20" s="3" customFormat="1" ht="25.4" customHeight="1">
      <c r="A29" s="3" t="s">
        <v>172</v>
      </c>
      <c r="B29" s="50" t="s">
        <v>356</v>
      </c>
      <c r="D29" s="26" t="s">
        <v>173</v>
      </c>
      <c r="E29" s="63">
        <v>2850</v>
      </c>
      <c r="F29" s="63">
        <v>3500</v>
      </c>
      <c r="G29" s="63">
        <v>2850</v>
      </c>
      <c r="H29" s="63">
        <v>2850</v>
      </c>
      <c r="I29" s="63">
        <v>2850</v>
      </c>
      <c r="J29" s="63">
        <v>2850</v>
      </c>
      <c r="K29" s="63">
        <v>4400</v>
      </c>
      <c r="L29" s="63">
        <v>4600</v>
      </c>
      <c r="M29" s="63">
        <v>2600</v>
      </c>
      <c r="N29" s="63">
        <v>2850</v>
      </c>
      <c r="O29" s="63">
        <v>2850</v>
      </c>
      <c r="P29" s="63">
        <v>3100</v>
      </c>
      <c r="Q29" s="61">
        <f t="shared" si="4"/>
        <v>38150</v>
      </c>
      <c r="R29" s="61">
        <f>Q29/'Rooms Summary'!$Q$111</f>
        <v>1.3908636844215976</v>
      </c>
      <c r="S29" s="35"/>
      <c r="T29" s="40" t="e">
        <f t="shared" si="3"/>
        <v>#DIV/0!</v>
      </c>
    </row>
    <row r="30" spans="1:20" s="3" customFormat="1" ht="25.4" customHeight="1">
      <c r="A30" s="3" t="s">
        <v>174</v>
      </c>
      <c r="B30" s="50" t="s">
        <v>356</v>
      </c>
      <c r="D30" s="26" t="s">
        <v>175</v>
      </c>
      <c r="E30" s="63">
        <v>16000</v>
      </c>
      <c r="F30" s="63">
        <v>16000</v>
      </c>
      <c r="G30" s="63">
        <v>16000</v>
      </c>
      <c r="H30" s="63">
        <v>16000</v>
      </c>
      <c r="I30" s="63">
        <v>16000</v>
      </c>
      <c r="J30" s="63">
        <v>16000</v>
      </c>
      <c r="K30" s="63">
        <v>16000</v>
      </c>
      <c r="L30" s="63">
        <v>16000</v>
      </c>
      <c r="M30" s="63">
        <v>16000</v>
      </c>
      <c r="N30" s="63">
        <v>16000</v>
      </c>
      <c r="O30" s="63">
        <v>16000</v>
      </c>
      <c r="P30" s="63">
        <v>16000</v>
      </c>
      <c r="Q30" s="61">
        <f t="shared" si="4"/>
        <v>192000</v>
      </c>
      <c r="R30" s="61">
        <f>Q30/'Rooms Summary'!$Q$111</f>
        <v>6.9998906267089573</v>
      </c>
      <c r="S30" s="35"/>
      <c r="T30" s="108" t="e">
        <f t="shared" si="3"/>
        <v>#DIV/0!</v>
      </c>
    </row>
    <row r="31" spans="1:20" s="3" customFormat="1" ht="25.4" customHeight="1">
      <c r="A31" s="3" t="s">
        <v>176</v>
      </c>
      <c r="B31" s="50" t="s">
        <v>356</v>
      </c>
      <c r="D31" s="26" t="s">
        <v>177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1">
        <f t="shared" si="4"/>
        <v>0</v>
      </c>
      <c r="R31" s="61">
        <f>Q31/'Rooms Summary'!$Q$111</f>
        <v>0</v>
      </c>
      <c r="S31" s="35"/>
      <c r="T31" s="108">
        <f t="shared" si="3"/>
        <v>0</v>
      </c>
    </row>
    <row r="32" spans="1:20" s="3" customFormat="1" ht="25.4" customHeight="1">
      <c r="A32" s="3" t="s">
        <v>178</v>
      </c>
      <c r="B32" s="50" t="s">
        <v>356</v>
      </c>
      <c r="D32" s="26" t="s">
        <v>179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1">
        <f t="shared" si="4"/>
        <v>0</v>
      </c>
      <c r="R32" s="61">
        <f>Q32/'Rooms Summary'!$Q$111</f>
        <v>0</v>
      </c>
      <c r="S32" s="35"/>
      <c r="T32" s="108">
        <f t="shared" si="3"/>
        <v>0</v>
      </c>
    </row>
    <row r="33" spans="1:20" s="3" customFormat="1" ht="25.4" customHeight="1">
      <c r="A33" s="3" t="s">
        <v>180</v>
      </c>
      <c r="B33" s="50" t="s">
        <v>356</v>
      </c>
      <c r="D33" s="26" t="s">
        <v>181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1">
        <f t="shared" si="4"/>
        <v>0</v>
      </c>
      <c r="R33" s="61">
        <f>Q33/'Rooms Summary'!$Q$111</f>
        <v>0</v>
      </c>
      <c r="S33" s="35"/>
      <c r="T33" s="108">
        <f t="shared" si="3"/>
        <v>0</v>
      </c>
    </row>
    <row r="34" spans="1:20" s="3" customFormat="1" ht="25.4" customHeight="1">
      <c r="A34" s="3" t="s">
        <v>182</v>
      </c>
      <c r="B34" s="50" t="s">
        <v>356</v>
      </c>
      <c r="D34" s="26" t="s">
        <v>183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1">
        <f t="shared" si="4"/>
        <v>0</v>
      </c>
      <c r="R34" s="61">
        <f>Q34/'Rooms Summary'!$Q$111</f>
        <v>0</v>
      </c>
      <c r="S34" s="35"/>
      <c r="T34" s="108">
        <f t="shared" si="3"/>
        <v>0</v>
      </c>
    </row>
    <row r="35" spans="1:20" s="3" customFormat="1" ht="25.4" customHeight="1">
      <c r="A35" s="3" t="s">
        <v>184</v>
      </c>
      <c r="B35" s="50" t="s">
        <v>356</v>
      </c>
      <c r="D35" s="26" t="s">
        <v>185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1">
        <f t="shared" si="4"/>
        <v>0</v>
      </c>
      <c r="R35" s="61">
        <f>Q35/'Rooms Summary'!$Q$111</f>
        <v>0</v>
      </c>
      <c r="S35" s="35"/>
      <c r="T35" s="108">
        <f t="shared" si="3"/>
        <v>0</v>
      </c>
    </row>
    <row r="36" spans="1:20" s="3" customFormat="1" ht="25.4" customHeight="1">
      <c r="A36" s="3" t="s">
        <v>186</v>
      </c>
      <c r="B36" s="50" t="s">
        <v>356</v>
      </c>
      <c r="D36" s="26" t="s">
        <v>187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1">
        <f t="shared" si="4"/>
        <v>0</v>
      </c>
      <c r="R36" s="61">
        <f>Q36/'Rooms Summary'!$Q$111</f>
        <v>0</v>
      </c>
      <c r="S36" s="35"/>
      <c r="T36" s="108">
        <f t="shared" si="3"/>
        <v>0</v>
      </c>
    </row>
    <row r="37" spans="1:20" s="3" customFormat="1" ht="25.4" customHeight="1">
      <c r="A37" s="3" t="s">
        <v>188</v>
      </c>
      <c r="B37" s="50" t="s">
        <v>356</v>
      </c>
      <c r="D37" s="26" t="s">
        <v>189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1">
        <f t="shared" si="4"/>
        <v>0</v>
      </c>
      <c r="R37" s="61">
        <f>Q37/'Rooms Summary'!$Q$111</f>
        <v>0</v>
      </c>
      <c r="S37" s="35"/>
      <c r="T37" s="108">
        <f t="shared" si="3"/>
        <v>0</v>
      </c>
    </row>
    <row r="38" spans="1:20" s="3" customFormat="1" ht="25.4" customHeight="1">
      <c r="A38" s="3" t="s">
        <v>190</v>
      </c>
      <c r="B38" s="50" t="s">
        <v>356</v>
      </c>
      <c r="D38" s="26" t="s">
        <v>191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1">
        <f t="shared" si="4"/>
        <v>0</v>
      </c>
      <c r="R38" s="61">
        <f>Q38/'Rooms Summary'!$Q$111</f>
        <v>0</v>
      </c>
      <c r="S38" s="35"/>
      <c r="T38" s="108">
        <f t="shared" si="3"/>
        <v>0</v>
      </c>
    </row>
    <row r="39" spans="1:20" s="3" customFormat="1" ht="25.4" customHeight="1">
      <c r="A39" s="3" t="s">
        <v>192</v>
      </c>
      <c r="B39" s="50" t="s">
        <v>356</v>
      </c>
      <c r="D39" s="26" t="s">
        <v>193</v>
      </c>
      <c r="E39" s="63">
        <v>2000</v>
      </c>
      <c r="F39" s="63">
        <v>2000</v>
      </c>
      <c r="G39" s="63">
        <v>2000</v>
      </c>
      <c r="H39" s="63">
        <v>2000</v>
      </c>
      <c r="I39" s="63">
        <v>2000</v>
      </c>
      <c r="J39" s="63">
        <v>2000</v>
      </c>
      <c r="K39" s="63">
        <v>2000</v>
      </c>
      <c r="L39" s="63">
        <v>2000</v>
      </c>
      <c r="M39" s="63">
        <v>2000</v>
      </c>
      <c r="N39" s="63">
        <v>2000</v>
      </c>
      <c r="O39" s="63">
        <v>2000</v>
      </c>
      <c r="P39" s="63">
        <v>2000</v>
      </c>
      <c r="Q39" s="61">
        <f t="shared" si="4"/>
        <v>24000</v>
      </c>
      <c r="R39" s="61">
        <f>Q39/'Rooms Summary'!$Q$111</f>
        <v>0.87498632833861967</v>
      </c>
      <c r="S39" s="35"/>
      <c r="T39" s="40" t="e">
        <f t="shared" si="3"/>
        <v>#DIV/0!</v>
      </c>
    </row>
    <row r="40" spans="1:20" s="3" customFormat="1" ht="25.4" customHeight="1">
      <c r="A40" s="3" t="s">
        <v>194</v>
      </c>
      <c r="B40" s="50" t="s">
        <v>356</v>
      </c>
      <c r="D40" s="26" t="s">
        <v>195</v>
      </c>
      <c r="E40" s="63"/>
      <c r="F40" s="63"/>
      <c r="G40" s="63"/>
      <c r="H40" s="63"/>
      <c r="I40" s="63"/>
      <c r="J40" s="63"/>
      <c r="K40" s="63">
        <v>2000</v>
      </c>
      <c r="L40" s="63"/>
      <c r="M40" s="63"/>
      <c r="N40" s="63"/>
      <c r="O40" s="63"/>
      <c r="P40" s="63"/>
      <c r="Q40" s="61">
        <f t="shared" si="4"/>
        <v>2000</v>
      </c>
      <c r="R40" s="61">
        <f>Q40/'Rooms Summary'!$Q$111</f>
        <v>7.2915527361551644E-2</v>
      </c>
      <c r="S40" s="35"/>
      <c r="T40" s="40" t="e">
        <f t="shared" si="3"/>
        <v>#DIV/0!</v>
      </c>
    </row>
    <row r="41" spans="1:20" s="3" customFormat="1" ht="25.4" customHeight="1">
      <c r="A41" s="3" t="s">
        <v>196</v>
      </c>
      <c r="B41" s="50" t="s">
        <v>356</v>
      </c>
      <c r="D41" s="26" t="s">
        <v>197</v>
      </c>
      <c r="E41" s="63">
        <v>100</v>
      </c>
      <c r="F41" s="63">
        <v>150</v>
      </c>
      <c r="G41" s="63">
        <v>100</v>
      </c>
      <c r="H41" s="63">
        <v>100</v>
      </c>
      <c r="I41" s="63">
        <v>100</v>
      </c>
      <c r="J41" s="63">
        <v>100</v>
      </c>
      <c r="K41" s="63">
        <v>150</v>
      </c>
      <c r="L41" s="63">
        <v>150</v>
      </c>
      <c r="M41" s="63">
        <v>100</v>
      </c>
      <c r="N41" s="63">
        <v>150</v>
      </c>
      <c r="O41" s="63">
        <v>100</v>
      </c>
      <c r="P41" s="63">
        <v>100</v>
      </c>
      <c r="Q41" s="61">
        <f t="shared" si="4"/>
        <v>1400</v>
      </c>
      <c r="R41" s="61">
        <f>Q41/'Rooms Summary'!$Q$111</f>
        <v>5.1040869153086151E-2</v>
      </c>
      <c r="S41" s="35"/>
      <c r="T41" s="40" t="e">
        <f t="shared" si="3"/>
        <v>#DIV/0!</v>
      </c>
    </row>
    <row r="42" spans="1:20" s="3" customFormat="1" ht="25.4" customHeight="1">
      <c r="A42" s="3" t="s">
        <v>198</v>
      </c>
      <c r="B42" s="50" t="s">
        <v>356</v>
      </c>
      <c r="D42" s="26" t="s">
        <v>199</v>
      </c>
      <c r="E42" s="63">
        <f>12*E120</f>
        <v>228</v>
      </c>
      <c r="F42" s="63">
        <f t="shared" ref="F42:P42" si="6">12*F120</f>
        <v>228</v>
      </c>
      <c r="G42" s="63">
        <f t="shared" si="6"/>
        <v>228</v>
      </c>
      <c r="H42" s="63">
        <f t="shared" si="6"/>
        <v>240</v>
      </c>
      <c r="I42" s="63">
        <f t="shared" si="6"/>
        <v>240</v>
      </c>
      <c r="J42" s="63">
        <f t="shared" si="6"/>
        <v>240</v>
      </c>
      <c r="K42" s="63">
        <f t="shared" si="6"/>
        <v>240</v>
      </c>
      <c r="L42" s="63">
        <f t="shared" si="6"/>
        <v>240</v>
      </c>
      <c r="M42" s="63">
        <f t="shared" si="6"/>
        <v>240</v>
      </c>
      <c r="N42" s="63">
        <f t="shared" si="6"/>
        <v>240</v>
      </c>
      <c r="O42" s="63">
        <f t="shared" si="6"/>
        <v>240</v>
      </c>
      <c r="P42" s="63">
        <f t="shared" si="6"/>
        <v>240</v>
      </c>
      <c r="Q42" s="61">
        <f t="shared" si="4"/>
        <v>2844</v>
      </c>
      <c r="R42" s="61">
        <f>Q42/'Rooms Summary'!$Q$111</f>
        <v>0.10368587990812643</v>
      </c>
      <c r="S42" s="35"/>
      <c r="T42" s="40" t="e">
        <f t="shared" si="3"/>
        <v>#DIV/0!</v>
      </c>
    </row>
    <row r="43" spans="1:20" s="3" customFormat="1" ht="25.4" customHeight="1">
      <c r="A43" s="3" t="s">
        <v>200</v>
      </c>
      <c r="B43" s="50" t="s">
        <v>356</v>
      </c>
      <c r="D43" s="26" t="s">
        <v>201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1">
        <f t="shared" si="4"/>
        <v>0</v>
      </c>
      <c r="R43" s="61">
        <f>Q43/'Rooms Summary'!$Q$111</f>
        <v>0</v>
      </c>
      <c r="S43" s="35"/>
      <c r="T43" s="108">
        <f t="shared" si="3"/>
        <v>0</v>
      </c>
    </row>
    <row r="44" spans="1:20" s="3" customFormat="1" ht="25.4" customHeight="1">
      <c r="A44" s="3" t="s">
        <v>202</v>
      </c>
      <c r="B44" s="50" t="s">
        <v>356</v>
      </c>
      <c r="D44" s="26" t="s">
        <v>203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1">
        <f t="shared" si="4"/>
        <v>0</v>
      </c>
      <c r="R44" s="61">
        <f>Q44/'Rooms Summary'!$Q$111</f>
        <v>0</v>
      </c>
      <c r="S44" s="35"/>
      <c r="T44" s="108">
        <f t="shared" si="3"/>
        <v>0</v>
      </c>
    </row>
    <row r="45" spans="1:20" s="3" customFormat="1" ht="25.4" hidden="1" customHeight="1">
      <c r="A45" s="3" t="s">
        <v>204</v>
      </c>
      <c r="B45" s="50" t="s">
        <v>356</v>
      </c>
      <c r="D45" s="26" t="s">
        <v>205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1">
        <f t="shared" si="4"/>
        <v>0</v>
      </c>
      <c r="R45" s="61">
        <f>Q45/'Rooms Summary'!$Q$111</f>
        <v>0</v>
      </c>
      <c r="S45" s="35"/>
      <c r="T45" s="108">
        <f t="shared" si="3"/>
        <v>0</v>
      </c>
    </row>
    <row r="46" spans="1:20" s="3" customFormat="1" ht="25.4" hidden="1" customHeight="1">
      <c r="A46" s="3" t="s">
        <v>206</v>
      </c>
      <c r="B46" s="50" t="s">
        <v>356</v>
      </c>
      <c r="D46" s="26" t="s">
        <v>207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>
        <f t="shared" si="4"/>
        <v>0</v>
      </c>
      <c r="R46" s="61">
        <f>Q46/'Rooms Summary'!$Q$111</f>
        <v>0</v>
      </c>
      <c r="S46" s="35"/>
      <c r="T46" s="108">
        <f t="shared" si="3"/>
        <v>0</v>
      </c>
    </row>
    <row r="47" spans="1:20" s="3" customFormat="1" ht="25.4" hidden="1" customHeight="1">
      <c r="A47" s="3" t="s">
        <v>208</v>
      </c>
      <c r="B47" s="50" t="s">
        <v>356</v>
      </c>
      <c r="D47" s="26" t="s">
        <v>209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>
        <f t="shared" si="4"/>
        <v>0</v>
      </c>
      <c r="R47" s="61">
        <f>Q47/'Rooms Summary'!$Q$111</f>
        <v>0</v>
      </c>
      <c r="S47" s="35"/>
      <c r="T47" s="108">
        <f t="shared" si="3"/>
        <v>0</v>
      </c>
    </row>
    <row r="48" spans="1:20" s="3" customFormat="1" ht="25.4" hidden="1" customHeight="1">
      <c r="A48" s="3" t="s">
        <v>210</v>
      </c>
      <c r="B48" s="50" t="s">
        <v>356</v>
      </c>
      <c r="D48" s="26" t="s">
        <v>211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>
        <f t="shared" si="4"/>
        <v>0</v>
      </c>
      <c r="R48" s="61">
        <f>Q48/'Rooms Summary'!$Q$111</f>
        <v>0</v>
      </c>
      <c r="S48" s="35"/>
      <c r="T48" s="108">
        <f t="shared" si="3"/>
        <v>0</v>
      </c>
    </row>
    <row r="49" spans="1:25" s="3" customFormat="1" ht="25.4" hidden="1" customHeight="1">
      <c r="A49" s="3" t="s">
        <v>212</v>
      </c>
      <c r="B49" s="50" t="s">
        <v>356</v>
      </c>
      <c r="D49" s="26" t="s">
        <v>213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1">
        <f t="shared" si="4"/>
        <v>0</v>
      </c>
      <c r="R49" s="61">
        <f>Q49/'Rooms Summary'!$Q$111</f>
        <v>0</v>
      </c>
      <c r="S49" s="35"/>
      <c r="T49" s="40">
        <f t="shared" si="3"/>
        <v>0</v>
      </c>
    </row>
    <row r="50" spans="1:25" s="3" customFormat="1" ht="25.4" hidden="1" customHeight="1">
      <c r="A50" s="3" t="s">
        <v>214</v>
      </c>
      <c r="B50" s="50" t="s">
        <v>356</v>
      </c>
      <c r="D50" s="26" t="s">
        <v>215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>
        <f t="shared" si="4"/>
        <v>0</v>
      </c>
      <c r="R50" s="61">
        <f>Q50/'Rooms Summary'!$Q$111</f>
        <v>0</v>
      </c>
      <c r="S50" s="35"/>
      <c r="T50" s="40">
        <f t="shared" si="3"/>
        <v>0</v>
      </c>
    </row>
    <row r="51" spans="1:25" s="3" customFormat="1" ht="25.4" hidden="1" customHeight="1">
      <c r="A51" s="3" t="s">
        <v>216</v>
      </c>
      <c r="B51" s="50" t="s">
        <v>356</v>
      </c>
      <c r="D51" s="26" t="s">
        <v>217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1">
        <f t="shared" si="4"/>
        <v>0</v>
      </c>
      <c r="R51" s="61">
        <f>Q51/'Rooms Summary'!$Q$111</f>
        <v>0</v>
      </c>
      <c r="S51" s="35"/>
      <c r="T51" s="40">
        <f t="shared" si="3"/>
        <v>0</v>
      </c>
    </row>
    <row r="52" spans="1:25" s="3" customFormat="1" ht="25.4" hidden="1" customHeight="1">
      <c r="A52" s="3" t="s">
        <v>218</v>
      </c>
      <c r="B52" s="50" t="s">
        <v>356</v>
      </c>
      <c r="D52" s="26" t="s">
        <v>219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1">
        <f t="shared" si="4"/>
        <v>0</v>
      </c>
      <c r="R52" s="61">
        <f>Q52/'Rooms Summary'!$Q$111</f>
        <v>0</v>
      </c>
      <c r="S52" s="35"/>
      <c r="T52" s="40">
        <f t="shared" si="3"/>
        <v>0</v>
      </c>
    </row>
    <row r="53" spans="1:25" s="3" customFormat="1" ht="25.4" hidden="1" customHeight="1">
      <c r="A53" s="3" t="s">
        <v>220</v>
      </c>
      <c r="B53" s="50" t="s">
        <v>356</v>
      </c>
      <c r="D53" s="26" t="s">
        <v>221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1">
        <f t="shared" si="4"/>
        <v>0</v>
      </c>
      <c r="R53" s="61">
        <f>Q53/'Rooms Summary'!$Q$111</f>
        <v>0</v>
      </c>
      <c r="S53" s="35"/>
      <c r="T53" s="40">
        <f t="shared" si="3"/>
        <v>0</v>
      </c>
    </row>
    <row r="54" spans="1:25" s="3" customFormat="1" ht="25.4" hidden="1" customHeight="1">
      <c r="A54" s="3" t="s">
        <v>222</v>
      </c>
      <c r="B54" s="50" t="s">
        <v>356</v>
      </c>
      <c r="D54" s="26" t="s">
        <v>223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1">
        <f t="shared" si="4"/>
        <v>0</v>
      </c>
      <c r="R54" s="61">
        <f>Q54/'Rooms Summary'!$Q$111</f>
        <v>0</v>
      </c>
      <c r="S54" s="35"/>
      <c r="T54" s="40">
        <f t="shared" si="3"/>
        <v>0</v>
      </c>
    </row>
    <row r="55" spans="1:25" s="3" customFormat="1" ht="25.4" hidden="1" customHeight="1">
      <c r="A55" s="3" t="s">
        <v>224</v>
      </c>
      <c r="B55" s="50" t="s">
        <v>356</v>
      </c>
      <c r="D55" s="26" t="s">
        <v>225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1">
        <f t="shared" ref="Q55" si="7">SUM(E55:P55)</f>
        <v>0</v>
      </c>
      <c r="R55" s="61">
        <f>Q55/'Rooms Summary'!$Q$111</f>
        <v>0</v>
      </c>
      <c r="S55" s="35"/>
      <c r="T55" s="40">
        <f t="shared" si="3"/>
        <v>0</v>
      </c>
      <c r="V55" s="350"/>
      <c r="Y55" s="3">
        <f>+IT!Y205</f>
        <v>0</v>
      </c>
    </row>
    <row r="56" spans="1:25" s="3" customFormat="1" ht="25.4" hidden="1" customHeight="1">
      <c r="A56" s="3" t="s">
        <v>226</v>
      </c>
      <c r="B56" s="50" t="s">
        <v>356</v>
      </c>
      <c r="D56" s="26" t="s">
        <v>227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1">
        <f t="shared" si="4"/>
        <v>0</v>
      </c>
      <c r="R56" s="61">
        <f>Q56/'Rooms Summary'!$Q$111</f>
        <v>0</v>
      </c>
      <c r="S56" s="35"/>
      <c r="T56" s="40">
        <f t="shared" si="3"/>
        <v>0</v>
      </c>
    </row>
    <row r="57" spans="1:25" s="3" customFormat="1" ht="25.4" hidden="1" customHeight="1">
      <c r="A57" s="3" t="s">
        <v>228</v>
      </c>
      <c r="B57" s="50" t="s">
        <v>356</v>
      </c>
      <c r="D57" s="26" t="s">
        <v>229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1">
        <f t="shared" si="4"/>
        <v>0</v>
      </c>
      <c r="R57" s="61">
        <f>Q57/'Rooms Summary'!$Q$111</f>
        <v>0</v>
      </c>
      <c r="S57" s="35"/>
      <c r="T57" s="40">
        <f t="shared" si="3"/>
        <v>0</v>
      </c>
    </row>
    <row r="58" spans="1:25" s="3" customFormat="1" ht="25.4" hidden="1" customHeight="1">
      <c r="A58" s="3" t="s">
        <v>230</v>
      </c>
      <c r="B58" s="50" t="s">
        <v>356</v>
      </c>
      <c r="D58" s="26" t="s">
        <v>231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1">
        <f t="shared" si="4"/>
        <v>0</v>
      </c>
      <c r="R58" s="61">
        <f>Q58/'Rooms Summary'!$Q$111</f>
        <v>0</v>
      </c>
      <c r="S58" s="35"/>
      <c r="T58" s="40">
        <f t="shared" si="3"/>
        <v>0</v>
      </c>
    </row>
    <row r="59" spans="1:25" s="3" customFormat="1" ht="25.4" hidden="1" customHeight="1">
      <c r="A59" s="3" t="s">
        <v>232</v>
      </c>
      <c r="B59" s="50" t="s">
        <v>356</v>
      </c>
      <c r="D59" s="26" t="s">
        <v>233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1">
        <f t="shared" si="4"/>
        <v>0</v>
      </c>
      <c r="R59" s="61">
        <f>Q59/'Rooms Summary'!$Q$111</f>
        <v>0</v>
      </c>
      <c r="S59" s="35"/>
      <c r="T59" s="40">
        <f t="shared" si="3"/>
        <v>0</v>
      </c>
    </row>
    <row r="60" spans="1:25" s="3" customFormat="1" ht="25.4" hidden="1" customHeight="1">
      <c r="A60" s="3" t="s">
        <v>234</v>
      </c>
      <c r="B60" s="50" t="s">
        <v>356</v>
      </c>
      <c r="D60" s="26" t="s">
        <v>235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>
        <f t="shared" si="4"/>
        <v>0</v>
      </c>
      <c r="R60" s="61">
        <f>Q60/'Rooms Summary'!$Q$111</f>
        <v>0</v>
      </c>
      <c r="S60" s="35"/>
      <c r="T60" s="40">
        <f t="shared" si="3"/>
        <v>0</v>
      </c>
    </row>
    <row r="61" spans="1:25" s="3" customFormat="1" ht="25.4" hidden="1" customHeight="1">
      <c r="A61" s="3" t="s">
        <v>236</v>
      </c>
      <c r="B61" s="50" t="s">
        <v>356</v>
      </c>
      <c r="D61" s="26" t="s">
        <v>237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>
        <f t="shared" si="4"/>
        <v>0</v>
      </c>
      <c r="R61" s="61">
        <f>Q61/'Rooms Summary'!$Q$111</f>
        <v>0</v>
      </c>
      <c r="S61" s="35"/>
      <c r="T61" s="40">
        <f t="shared" si="3"/>
        <v>0</v>
      </c>
    </row>
    <row r="62" spans="1:25" s="3" customFormat="1" ht="25.4" hidden="1" customHeight="1">
      <c r="A62" s="3" t="s">
        <v>238</v>
      </c>
      <c r="B62" s="50" t="s">
        <v>356</v>
      </c>
      <c r="D62" s="26" t="s">
        <v>239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>
        <f t="shared" si="4"/>
        <v>0</v>
      </c>
      <c r="R62" s="61">
        <f>Q62/'Rooms Summary'!$Q$111</f>
        <v>0</v>
      </c>
      <c r="S62" s="35"/>
      <c r="T62" s="40">
        <f t="shared" si="3"/>
        <v>0</v>
      </c>
    </row>
    <row r="63" spans="1:25" s="3" customFormat="1" ht="25.4" hidden="1" customHeight="1">
      <c r="A63" s="3" t="s">
        <v>240</v>
      </c>
      <c r="B63" s="50" t="s">
        <v>356</v>
      </c>
      <c r="D63" s="26" t="s">
        <v>241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1">
        <f t="shared" si="4"/>
        <v>0</v>
      </c>
      <c r="R63" s="61">
        <f>Q63/'Rooms Summary'!$Q$111</f>
        <v>0</v>
      </c>
      <c r="S63" s="35"/>
      <c r="T63" s="40">
        <f t="shared" si="3"/>
        <v>0</v>
      </c>
    </row>
    <row r="64" spans="1:25" s="3" customFormat="1" ht="25.4" hidden="1" customHeight="1">
      <c r="A64" s="3" t="s">
        <v>242</v>
      </c>
      <c r="B64" s="50" t="s">
        <v>356</v>
      </c>
      <c r="D64" s="26" t="s">
        <v>243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1">
        <f t="shared" si="4"/>
        <v>0</v>
      </c>
      <c r="R64" s="61">
        <f>Q64/'Rooms Summary'!$Q$111</f>
        <v>0</v>
      </c>
      <c r="S64" s="35"/>
      <c r="T64" s="40">
        <f t="shared" si="3"/>
        <v>0</v>
      </c>
    </row>
    <row r="65" spans="1:25" s="3" customFormat="1" ht="25.4" hidden="1" customHeight="1">
      <c r="A65" s="3" t="s">
        <v>244</v>
      </c>
      <c r="B65" s="50" t="s">
        <v>356</v>
      </c>
      <c r="D65" s="26" t="s">
        <v>245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1">
        <f t="shared" si="4"/>
        <v>0</v>
      </c>
      <c r="R65" s="61">
        <f>Q65/'Rooms Summary'!$Q$111</f>
        <v>0</v>
      </c>
      <c r="S65" s="35"/>
      <c r="T65" s="40">
        <f t="shared" si="3"/>
        <v>0</v>
      </c>
    </row>
    <row r="66" spans="1:25" s="3" customFormat="1" ht="25.4" customHeight="1">
      <c r="A66" s="3" t="s">
        <v>246</v>
      </c>
      <c r="B66" s="50" t="s">
        <v>356</v>
      </c>
      <c r="D66" s="26" t="s">
        <v>247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1">
        <f t="shared" si="4"/>
        <v>0</v>
      </c>
      <c r="R66" s="61">
        <f>Q66/'Rooms Summary'!$Q$111</f>
        <v>0</v>
      </c>
      <c r="S66" s="35"/>
      <c r="T66" s="40">
        <f t="shared" si="3"/>
        <v>0</v>
      </c>
    </row>
    <row r="67" spans="1:25" s="3" customFormat="1" ht="25.4" customHeight="1">
      <c r="A67" s="3" t="s">
        <v>248</v>
      </c>
      <c r="B67" s="50" t="s">
        <v>356</v>
      </c>
      <c r="D67" s="26" t="s">
        <v>249</v>
      </c>
      <c r="E67" s="63">
        <v>100</v>
      </c>
      <c r="F67" s="63">
        <v>150</v>
      </c>
      <c r="G67" s="63">
        <v>100</v>
      </c>
      <c r="H67" s="63">
        <v>100</v>
      </c>
      <c r="I67" s="63">
        <v>150</v>
      </c>
      <c r="J67" s="63">
        <v>100</v>
      </c>
      <c r="K67" s="63">
        <v>150</v>
      </c>
      <c r="L67" s="63">
        <v>150</v>
      </c>
      <c r="M67" s="63">
        <v>100</v>
      </c>
      <c r="N67" s="63">
        <v>150</v>
      </c>
      <c r="O67" s="63">
        <v>100</v>
      </c>
      <c r="P67" s="63">
        <v>100</v>
      </c>
      <c r="Q67" s="61">
        <f t="shared" si="4"/>
        <v>1450</v>
      </c>
      <c r="R67" s="61">
        <f>Q67/'Rooms Summary'!$Q$111</f>
        <v>5.2863757337124943E-2</v>
      </c>
      <c r="S67" s="35"/>
      <c r="T67" s="40" t="e">
        <f t="shared" si="3"/>
        <v>#DIV/0!</v>
      </c>
    </row>
    <row r="68" spans="1:25" s="3" customFormat="1" ht="25.4" customHeight="1">
      <c r="A68" s="3" t="s">
        <v>250</v>
      </c>
      <c r="B68" s="50" t="s">
        <v>356</v>
      </c>
      <c r="D68" s="26" t="s">
        <v>251</v>
      </c>
      <c r="E68" s="63">
        <v>1000</v>
      </c>
      <c r="F68" s="63">
        <v>1000</v>
      </c>
      <c r="G68" s="63">
        <v>1000</v>
      </c>
      <c r="H68" s="63">
        <v>1000</v>
      </c>
      <c r="I68" s="63">
        <v>1000</v>
      </c>
      <c r="J68" s="63">
        <v>1000</v>
      </c>
      <c r="K68" s="63">
        <v>1000</v>
      </c>
      <c r="L68" s="63">
        <v>1000</v>
      </c>
      <c r="M68" s="63">
        <v>1000</v>
      </c>
      <c r="N68" s="63">
        <v>1000</v>
      </c>
      <c r="O68" s="63">
        <v>1000</v>
      </c>
      <c r="P68" s="63">
        <v>1000</v>
      </c>
      <c r="Q68" s="61">
        <f t="shared" si="4"/>
        <v>12000</v>
      </c>
      <c r="R68" s="61">
        <f>Q68/'Rooms Summary'!$Q$111</f>
        <v>0.43749316416930983</v>
      </c>
      <c r="S68" s="35"/>
      <c r="T68" s="40" t="e">
        <f t="shared" si="3"/>
        <v>#DIV/0!</v>
      </c>
      <c r="U68" s="3" t="s">
        <v>1226</v>
      </c>
      <c r="V68" s="3">
        <v>450</v>
      </c>
    </row>
    <row r="69" spans="1:25" s="3" customFormat="1" ht="25.4" customHeight="1">
      <c r="A69" s="3" t="s">
        <v>252</v>
      </c>
      <c r="B69" s="50" t="s">
        <v>356</v>
      </c>
      <c r="D69" s="26" t="s">
        <v>253</v>
      </c>
      <c r="E69" s="63">
        <v>5553.7000000000016</v>
      </c>
      <c r="F69" s="63">
        <v>4883.569999999997</v>
      </c>
      <c r="G69" s="63">
        <v>4757.7899999999991</v>
      </c>
      <c r="H69" s="63">
        <v>5135.2000000000025</v>
      </c>
      <c r="I69" s="63">
        <v>5057</v>
      </c>
      <c r="J69" s="63">
        <v>4657.6000000000013</v>
      </c>
      <c r="K69" s="63">
        <v>4526.5999999999995</v>
      </c>
      <c r="L69" s="63">
        <v>4542.6000000000013</v>
      </c>
      <c r="M69" s="63">
        <v>4635.8</v>
      </c>
      <c r="N69" s="63">
        <v>5014.5999999999985</v>
      </c>
      <c r="O69" s="63">
        <v>4494.2</v>
      </c>
      <c r="P69" s="63">
        <v>4448.0000000000009</v>
      </c>
      <c r="Q69" s="61">
        <f t="shared" si="4"/>
        <v>57706.66</v>
      </c>
      <c r="R69" s="61">
        <f>Q69/'Rooms Summary'!$Q$111</f>
        <v>2.1038557730868788</v>
      </c>
      <c r="S69" s="35"/>
      <c r="T69" s="40" t="e">
        <f t="shared" si="3"/>
        <v>#DIV/0!</v>
      </c>
      <c r="U69" s="3" t="s">
        <v>1259</v>
      </c>
      <c r="V69" s="3">
        <v>207.9</v>
      </c>
    </row>
    <row r="70" spans="1:25" s="3" customFormat="1" ht="25.4" customHeight="1">
      <c r="A70" s="3" t="s">
        <v>254</v>
      </c>
      <c r="B70" s="50" t="s">
        <v>356</v>
      </c>
      <c r="D70" s="26" t="s">
        <v>255</v>
      </c>
      <c r="E70" s="63"/>
      <c r="F70" s="63"/>
      <c r="G70" s="63"/>
      <c r="H70" s="63"/>
      <c r="I70" s="63"/>
      <c r="J70" s="61"/>
      <c r="K70" s="61"/>
      <c r="L70" s="61"/>
      <c r="M70" s="61"/>
      <c r="N70" s="61"/>
      <c r="O70" s="61"/>
      <c r="P70" s="61"/>
      <c r="Q70" s="61">
        <f t="shared" si="4"/>
        <v>0</v>
      </c>
      <c r="R70" s="61">
        <f>Q70/'Rooms Summary'!$Q$111</f>
        <v>0</v>
      </c>
      <c r="S70" s="35"/>
      <c r="T70" s="40">
        <f t="shared" si="3"/>
        <v>0</v>
      </c>
    </row>
    <row r="71" spans="1:25" s="3" customFormat="1" ht="25.4" customHeight="1">
      <c r="A71" s="3" t="s">
        <v>256</v>
      </c>
      <c r="B71" s="50" t="s">
        <v>356</v>
      </c>
      <c r="D71" s="26" t="s">
        <v>257</v>
      </c>
      <c r="E71" s="63">
        <v>700</v>
      </c>
      <c r="F71" s="63">
        <v>700</v>
      </c>
      <c r="G71" s="63">
        <v>700</v>
      </c>
      <c r="H71" s="63">
        <v>700</v>
      </c>
      <c r="I71" s="63">
        <v>700</v>
      </c>
      <c r="J71" s="63">
        <v>700</v>
      </c>
      <c r="K71" s="63">
        <v>700</v>
      </c>
      <c r="L71" s="63">
        <v>700</v>
      </c>
      <c r="M71" s="63">
        <v>700</v>
      </c>
      <c r="N71" s="63">
        <v>700</v>
      </c>
      <c r="O71" s="63">
        <v>700</v>
      </c>
      <c r="P71" s="63">
        <v>700</v>
      </c>
      <c r="Q71" s="61">
        <f t="shared" si="4"/>
        <v>8400</v>
      </c>
      <c r="R71" s="61">
        <f>Q71/'Rooms Summary'!$Q$111</f>
        <v>0.30624521491851692</v>
      </c>
      <c r="S71" s="35"/>
      <c r="T71" s="40" t="e">
        <f t="shared" si="3"/>
        <v>#DIV/0!</v>
      </c>
      <c r="U71" s="3" t="s">
        <v>1225</v>
      </c>
      <c r="V71" s="3">
        <v>700</v>
      </c>
      <c r="Y71" s="3">
        <f>+IT!Y216</f>
        <v>0</v>
      </c>
    </row>
    <row r="72" spans="1:25" s="3" customFormat="1" ht="25.4" customHeight="1">
      <c r="A72" s="3" t="s">
        <v>258</v>
      </c>
      <c r="B72" s="50" t="s">
        <v>356</v>
      </c>
      <c r="D72" s="26" t="s">
        <v>259</v>
      </c>
      <c r="E72" s="63">
        <v>100</v>
      </c>
      <c r="F72" s="63">
        <v>200</v>
      </c>
      <c r="G72" s="63">
        <v>100</v>
      </c>
      <c r="H72" s="63">
        <v>100</v>
      </c>
      <c r="I72" s="63">
        <v>200</v>
      </c>
      <c r="J72" s="63">
        <v>100</v>
      </c>
      <c r="K72" s="63">
        <v>200</v>
      </c>
      <c r="L72" s="63">
        <v>200</v>
      </c>
      <c r="M72" s="63">
        <v>100</v>
      </c>
      <c r="N72" s="63">
        <v>200</v>
      </c>
      <c r="O72" s="63">
        <v>100</v>
      </c>
      <c r="P72" s="63">
        <v>100</v>
      </c>
      <c r="Q72" s="61">
        <f t="shared" si="4"/>
        <v>1700</v>
      </c>
      <c r="R72" s="61">
        <f>Q72/'Rooms Summary'!$Q$111</f>
        <v>6.1978198257318894E-2</v>
      </c>
      <c r="S72" s="35"/>
      <c r="T72" s="40" t="e">
        <f t="shared" si="3"/>
        <v>#DIV/0!</v>
      </c>
    </row>
    <row r="73" spans="1:25" s="3" customFormat="1" ht="25.4" customHeight="1">
      <c r="A73" s="3" t="s">
        <v>260</v>
      </c>
      <c r="B73" s="50" t="s">
        <v>356</v>
      </c>
      <c r="D73" s="26" t="s">
        <v>261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1">
        <f t="shared" si="4"/>
        <v>0</v>
      </c>
      <c r="R73" s="61">
        <f>Q73/'Rooms Summary'!$Q$111</f>
        <v>0</v>
      </c>
      <c r="S73" s="35"/>
      <c r="T73" s="40">
        <f t="shared" si="3"/>
        <v>0</v>
      </c>
    </row>
    <row r="74" spans="1:25" s="3" customFormat="1" ht="25.4" customHeight="1">
      <c r="A74" s="3" t="s">
        <v>262</v>
      </c>
      <c r="B74" s="50" t="s">
        <v>356</v>
      </c>
      <c r="D74" s="26" t="s">
        <v>263</v>
      </c>
      <c r="E74" s="63"/>
      <c r="F74" s="63"/>
      <c r="G74" s="63">
        <v>5000</v>
      </c>
      <c r="H74" s="63"/>
      <c r="I74" s="63"/>
      <c r="J74" s="63"/>
      <c r="K74" s="63"/>
      <c r="L74" s="63"/>
      <c r="M74" s="63"/>
      <c r="N74" s="63"/>
      <c r="O74" s="63"/>
      <c r="P74" s="63"/>
      <c r="Q74" s="61">
        <f t="shared" si="4"/>
        <v>5000</v>
      </c>
      <c r="R74" s="61">
        <f>Q74/'Rooms Summary'!$Q$111</f>
        <v>0.18228881840387912</v>
      </c>
      <c r="S74" s="35"/>
      <c r="T74" s="40" t="e">
        <f t="shared" si="3"/>
        <v>#DIV/0!</v>
      </c>
    </row>
    <row r="75" spans="1:25" s="3" customFormat="1" ht="25.4" customHeight="1">
      <c r="A75" s="3" t="s">
        <v>264</v>
      </c>
      <c r="B75" s="50" t="s">
        <v>356</v>
      </c>
      <c r="D75" s="26" t="s">
        <v>265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1">
        <f t="shared" si="4"/>
        <v>0</v>
      </c>
      <c r="R75" s="61">
        <f>Q75/'Rooms Summary'!$Q$111</f>
        <v>0</v>
      </c>
      <c r="S75" s="35"/>
      <c r="T75" s="40">
        <f t="shared" si="3"/>
        <v>0</v>
      </c>
    </row>
    <row r="76" spans="1:25" s="3" customFormat="1" ht="25.4" customHeight="1">
      <c r="A76" s="3" t="s">
        <v>266</v>
      </c>
      <c r="B76" s="50" t="s">
        <v>356</v>
      </c>
      <c r="D76" s="26" t="s">
        <v>267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1">
        <f t="shared" si="4"/>
        <v>0</v>
      </c>
      <c r="R76" s="61">
        <f>Q76/'Rooms Summary'!$Q$111</f>
        <v>0</v>
      </c>
      <c r="S76" s="35"/>
      <c r="T76" s="40">
        <f t="shared" si="3"/>
        <v>0</v>
      </c>
    </row>
    <row r="77" spans="1:25" s="3" customFormat="1" ht="25.4" customHeight="1">
      <c r="A77" s="3" t="s">
        <v>1065</v>
      </c>
      <c r="B77" s="50" t="s">
        <v>356</v>
      </c>
      <c r="D77" s="26" t="s">
        <v>269</v>
      </c>
      <c r="K77" s="3">
        <v>6890</v>
      </c>
      <c r="Q77" s="61">
        <f t="shared" si="4"/>
        <v>6890</v>
      </c>
      <c r="R77" s="61">
        <f>Q77/'Rooms Summary'!$Q$111</f>
        <v>0.25119399176054541</v>
      </c>
      <c r="S77" s="35"/>
      <c r="T77" s="40" t="e">
        <f t="shared" si="3"/>
        <v>#DIV/0!</v>
      </c>
    </row>
    <row r="78" spans="1:25" s="3" customFormat="1" ht="25.4" customHeight="1">
      <c r="A78" s="3" t="s">
        <v>270</v>
      </c>
      <c r="B78" s="50" t="s">
        <v>356</v>
      </c>
      <c r="D78" s="26" t="s">
        <v>271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1">
        <f t="shared" si="4"/>
        <v>0</v>
      </c>
      <c r="R78" s="61">
        <f>Q78/'Rooms Summary'!$Q$111</f>
        <v>0</v>
      </c>
      <c r="S78" s="35"/>
      <c r="T78" s="40">
        <f t="shared" si="3"/>
        <v>0</v>
      </c>
    </row>
    <row r="79" spans="1:25" s="3" customFormat="1" ht="25.4" customHeight="1">
      <c r="A79" s="3" t="s">
        <v>272</v>
      </c>
      <c r="B79" s="50" t="s">
        <v>356</v>
      </c>
      <c r="D79" s="26" t="s">
        <v>273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1">
        <f t="shared" si="4"/>
        <v>0</v>
      </c>
      <c r="R79" s="61">
        <f>Q79/'Rooms Summary'!$Q$111</f>
        <v>0</v>
      </c>
      <c r="S79" s="35"/>
      <c r="T79" s="40">
        <f t="shared" si="3"/>
        <v>0</v>
      </c>
    </row>
    <row r="80" spans="1:25" s="3" customFormat="1" ht="25.4" customHeight="1">
      <c r="A80" s="3" t="s">
        <v>274</v>
      </c>
      <c r="B80" s="50" t="s">
        <v>356</v>
      </c>
      <c r="D80" s="26" t="s">
        <v>275</v>
      </c>
      <c r="E80" s="63">
        <v>200</v>
      </c>
      <c r="F80" s="63">
        <v>200</v>
      </c>
      <c r="G80" s="63">
        <v>200</v>
      </c>
      <c r="H80" s="63">
        <v>200</v>
      </c>
      <c r="I80" s="63">
        <v>200</v>
      </c>
      <c r="J80" s="63">
        <v>200</v>
      </c>
      <c r="K80" s="63">
        <v>200</v>
      </c>
      <c r="L80" s="63">
        <v>200</v>
      </c>
      <c r="M80" s="63">
        <v>200</v>
      </c>
      <c r="N80" s="63">
        <v>200</v>
      </c>
      <c r="O80" s="63">
        <v>200</v>
      </c>
      <c r="P80" s="63">
        <v>200</v>
      </c>
      <c r="Q80" s="61">
        <f t="shared" si="4"/>
        <v>2400</v>
      </c>
      <c r="R80" s="61">
        <f>Q80/'Rooms Summary'!$Q$111</f>
        <v>8.7498632833861972E-2</v>
      </c>
      <c r="S80" s="35"/>
      <c r="T80" s="40" t="e">
        <f t="shared" si="3"/>
        <v>#DIV/0!</v>
      </c>
    </row>
    <row r="81" spans="1:20" s="3" customFormat="1" ht="25.4" customHeight="1">
      <c r="D81" s="19" t="s">
        <v>276</v>
      </c>
      <c r="E81" s="151">
        <f>SUM(E14:E80)</f>
        <v>274676.53333333338</v>
      </c>
      <c r="F81" s="151">
        <f t="shared" ref="F81:Q81" si="8">SUM(F14:F80)</f>
        <v>442529.35533333331</v>
      </c>
      <c r="G81" s="151">
        <f t="shared" si="8"/>
        <v>211313.52333333335</v>
      </c>
      <c r="H81" s="151">
        <f t="shared" si="8"/>
        <v>215686.93333333335</v>
      </c>
      <c r="I81" s="151">
        <f t="shared" si="8"/>
        <v>290804.05333333334</v>
      </c>
      <c r="J81" s="151">
        <f t="shared" si="8"/>
        <v>209258.73333333334</v>
      </c>
      <c r="K81" s="151">
        <f t="shared" si="8"/>
        <v>352720.33333333331</v>
      </c>
      <c r="L81" s="151">
        <f t="shared" si="8"/>
        <v>377473.23333333328</v>
      </c>
      <c r="M81" s="151">
        <f t="shared" si="8"/>
        <v>211989.13333333333</v>
      </c>
      <c r="N81" s="151">
        <f t="shared" si="8"/>
        <v>309361.93333333329</v>
      </c>
      <c r="O81" s="151">
        <f t="shared" si="8"/>
        <v>239442.93333333335</v>
      </c>
      <c r="P81" s="151">
        <f t="shared" si="8"/>
        <v>285080.89333333331</v>
      </c>
      <c r="Q81" s="151">
        <f t="shared" si="8"/>
        <v>3420337.5919999997</v>
      </c>
      <c r="R81" s="61">
        <f>Q81/'Rooms Summary'!$Q$111</f>
        <v>124.69785963760982</v>
      </c>
      <c r="S81" s="35"/>
      <c r="T81" s="40" t="e">
        <f t="shared" si="3"/>
        <v>#DIV/0!</v>
      </c>
    </row>
    <row r="82" spans="1:20" s="3" customFormat="1" ht="25.4" customHeight="1">
      <c r="D82" s="19" t="s">
        <v>357</v>
      </c>
      <c r="E82" s="151">
        <f>E81+E11</f>
        <v>479170.31333333335</v>
      </c>
      <c r="F82" s="151">
        <f t="shared" ref="F82:Q82" si="9">F81+F11</f>
        <v>621694.94533333334</v>
      </c>
      <c r="G82" s="151">
        <f t="shared" si="9"/>
        <v>389815.63333333336</v>
      </c>
      <c r="H82" s="151">
        <f t="shared" si="9"/>
        <v>406640.43333333335</v>
      </c>
      <c r="I82" s="151">
        <f t="shared" si="9"/>
        <v>486390.19333333336</v>
      </c>
      <c r="J82" s="151">
        <f t="shared" si="9"/>
        <v>391301.44333333336</v>
      </c>
      <c r="K82" s="151">
        <f t="shared" si="9"/>
        <v>534479.44333333336</v>
      </c>
      <c r="L82" s="151">
        <f t="shared" si="9"/>
        <v>559268.14333333331</v>
      </c>
      <c r="M82" s="151">
        <f t="shared" si="9"/>
        <v>393815.44333333336</v>
      </c>
      <c r="N82" s="151">
        <f t="shared" si="9"/>
        <v>517466.18333333329</v>
      </c>
      <c r="O82" s="151">
        <f t="shared" si="9"/>
        <v>421101.64333333337</v>
      </c>
      <c r="P82" s="151">
        <f t="shared" si="9"/>
        <v>466653.02333333332</v>
      </c>
      <c r="Q82" s="151">
        <f t="shared" si="9"/>
        <v>5667796.8420000002</v>
      </c>
      <c r="R82" s="61">
        <f>Q82/'Rooms Summary'!$Q$111</f>
        <v>206.6351978562835</v>
      </c>
      <c r="S82" s="35"/>
      <c r="T82" s="40" t="e">
        <f t="shared" si="3"/>
        <v>#DIV/0!</v>
      </c>
    </row>
    <row r="83" spans="1:20" s="3" customFormat="1" ht="25.4" customHeight="1">
      <c r="L83" s="152"/>
      <c r="S83" s="35"/>
      <c r="T83" s="108"/>
    </row>
    <row r="84" spans="1:20" s="3" customFormat="1" ht="25.4" customHeight="1">
      <c r="D84" s="19" t="s">
        <v>295</v>
      </c>
      <c r="L84" s="152"/>
      <c r="S84" s="35"/>
      <c r="T84" s="108"/>
    </row>
    <row r="85" spans="1:20" s="3" customFormat="1" ht="25.4" customHeight="1">
      <c r="D85" s="19" t="s">
        <v>296</v>
      </c>
      <c r="L85" s="152"/>
      <c r="S85" s="35"/>
      <c r="T85" s="108"/>
    </row>
    <row r="86" spans="1:20" s="3" customFormat="1" ht="25.4" customHeight="1">
      <c r="A86" s="3" t="s">
        <v>297</v>
      </c>
      <c r="B86" s="69" t="s">
        <v>356</v>
      </c>
      <c r="D86" s="3" t="s">
        <v>299</v>
      </c>
      <c r="E86" s="61">
        <v>20440</v>
      </c>
      <c r="F86" s="61">
        <v>20440</v>
      </c>
      <c r="G86" s="61">
        <v>20440</v>
      </c>
      <c r="H86" s="61">
        <v>20440</v>
      </c>
      <c r="I86" s="61">
        <v>20440</v>
      </c>
      <c r="J86" s="61">
        <v>20440</v>
      </c>
      <c r="K86" s="61">
        <v>20440</v>
      </c>
      <c r="L86" s="61">
        <v>20440</v>
      </c>
      <c r="M86" s="61">
        <v>20440</v>
      </c>
      <c r="N86" s="61">
        <v>20440</v>
      </c>
      <c r="O86" s="61">
        <v>20440</v>
      </c>
      <c r="P86" s="61">
        <v>20440</v>
      </c>
      <c r="Q86" s="61">
        <f>SUM(E86:P86)</f>
        <v>245280</v>
      </c>
      <c r="R86" s="61">
        <f>Q86/'Rooms Summary'!$Q$111</f>
        <v>8.9423602756206932</v>
      </c>
      <c r="S86" s="35"/>
      <c r="T86" s="40" t="e">
        <f>-IF(Q86-S86=0,0,(Q86-S86)/S86)</f>
        <v>#DIV/0!</v>
      </c>
    </row>
    <row r="87" spans="1:20" s="3" customFormat="1" ht="25.4" customHeight="1">
      <c r="A87" s="50" t="s">
        <v>300</v>
      </c>
      <c r="B87" s="69" t="s">
        <v>356</v>
      </c>
      <c r="D87" s="3" t="s">
        <v>302</v>
      </c>
      <c r="E87" s="61">
        <v>91900</v>
      </c>
      <c r="F87" s="61">
        <v>91900</v>
      </c>
      <c r="G87" s="61">
        <v>91900</v>
      </c>
      <c r="H87" s="61">
        <v>94900</v>
      </c>
      <c r="I87" s="61">
        <v>94900</v>
      </c>
      <c r="J87" s="61">
        <v>94900</v>
      </c>
      <c r="K87" s="61">
        <v>94900</v>
      </c>
      <c r="L87" s="61">
        <v>94900</v>
      </c>
      <c r="M87" s="61">
        <v>94900</v>
      </c>
      <c r="N87" s="61">
        <v>94900</v>
      </c>
      <c r="O87" s="61">
        <v>94900</v>
      </c>
      <c r="P87" s="61">
        <v>94900</v>
      </c>
      <c r="Q87" s="61">
        <f>SUM(E87:P87)</f>
        <v>1129800</v>
      </c>
      <c r="R87" s="61">
        <f>Q87/'Rooms Summary'!$Q$111</f>
        <v>41.189981406540525</v>
      </c>
      <c r="S87" s="35"/>
      <c r="T87" s="40" t="e">
        <f t="shared" ref="T87:T88" si="10">-IF(Q87-S87=0,0,(Q87-S87)/S87)</f>
        <v>#DIV/0!</v>
      </c>
    </row>
    <row r="88" spans="1:20" s="3" customFormat="1" ht="25.4" customHeight="1">
      <c r="D88" s="19" t="s">
        <v>307</v>
      </c>
      <c r="E88" s="151">
        <f t="shared" ref="E88:P88" si="11">SUM(E86:E87)</f>
        <v>112340</v>
      </c>
      <c r="F88" s="151">
        <f t="shared" si="11"/>
        <v>112340</v>
      </c>
      <c r="G88" s="151">
        <f t="shared" si="11"/>
        <v>112340</v>
      </c>
      <c r="H88" s="151">
        <f t="shared" si="11"/>
        <v>115340</v>
      </c>
      <c r="I88" s="151">
        <f t="shared" si="11"/>
        <v>115340</v>
      </c>
      <c r="J88" s="151">
        <f t="shared" si="11"/>
        <v>115340</v>
      </c>
      <c r="K88" s="151">
        <f t="shared" si="11"/>
        <v>115340</v>
      </c>
      <c r="L88" s="151">
        <f t="shared" si="11"/>
        <v>115340</v>
      </c>
      <c r="M88" s="151">
        <f t="shared" si="11"/>
        <v>115340</v>
      </c>
      <c r="N88" s="151">
        <f t="shared" si="11"/>
        <v>115340</v>
      </c>
      <c r="O88" s="151">
        <f t="shared" si="11"/>
        <v>115340</v>
      </c>
      <c r="P88" s="151">
        <f t="shared" si="11"/>
        <v>115340</v>
      </c>
      <c r="Q88" s="151">
        <f t="shared" ref="Q88" si="12">SUM(Q86:Q87)</f>
        <v>1375080</v>
      </c>
      <c r="R88" s="61">
        <f>Q88/'Rooms Summary'!$Q$111</f>
        <v>50.132341682161218</v>
      </c>
      <c r="S88" s="35"/>
      <c r="T88" s="40" t="e">
        <f t="shared" si="10"/>
        <v>#DIV/0!</v>
      </c>
    </row>
    <row r="89" spans="1:20" s="3" customFormat="1" ht="25.4" customHeight="1">
      <c r="S89" s="35"/>
      <c r="T89" s="108"/>
    </row>
    <row r="90" spans="1:20" s="3" customFormat="1" ht="25.4" customHeight="1">
      <c r="A90" s="3" t="s">
        <v>308</v>
      </c>
      <c r="B90" s="50" t="s">
        <v>356</v>
      </c>
      <c r="D90" s="26" t="s">
        <v>309</v>
      </c>
      <c r="E90" s="61">
        <v>25351.75</v>
      </c>
      <c r="F90" s="61">
        <v>0</v>
      </c>
      <c r="G90" s="61">
        <v>0</v>
      </c>
      <c r="H90" s="61">
        <v>7853.79</v>
      </c>
      <c r="I90" s="61">
        <v>13089.630000000001</v>
      </c>
      <c r="J90" s="61">
        <v>0</v>
      </c>
      <c r="K90" s="61">
        <v>0</v>
      </c>
      <c r="L90" s="61">
        <v>0</v>
      </c>
      <c r="M90" s="61">
        <v>0</v>
      </c>
      <c r="N90" s="61">
        <v>26179.340000000004</v>
      </c>
      <c r="O90" s="61">
        <v>0</v>
      </c>
      <c r="P90" s="61">
        <v>0</v>
      </c>
      <c r="Q90" s="61">
        <f t="shared" ref="Q90:Q96" si="13">SUM(E90:P90)</f>
        <v>72474.510000000009</v>
      </c>
      <c r="R90" s="61">
        <f>Q90/'Rooms Summary'!$Q$111</f>
        <v>2.6422585584600244</v>
      </c>
      <c r="S90" s="35"/>
      <c r="T90" s="40" t="e">
        <f>-IF(Q90-S90=0,0,(Q90-S90)/S90)</f>
        <v>#DIV/0!</v>
      </c>
    </row>
    <row r="91" spans="1:20" s="3" customFormat="1" ht="25.4" customHeight="1">
      <c r="A91" s="3" t="s">
        <v>310</v>
      </c>
      <c r="B91" s="50" t="s">
        <v>356</v>
      </c>
      <c r="D91" s="26" t="s">
        <v>311</v>
      </c>
      <c r="E91" s="61">
        <v>1404.25</v>
      </c>
      <c r="F91" s="61">
        <v>1404.25</v>
      </c>
      <c r="G91" s="61">
        <v>1404.25</v>
      </c>
      <c r="H91" s="61">
        <v>1441.75</v>
      </c>
      <c r="I91" s="61">
        <v>1441.75</v>
      </c>
      <c r="J91" s="61">
        <v>1441.75</v>
      </c>
      <c r="K91" s="61">
        <v>1441.75</v>
      </c>
      <c r="L91" s="61">
        <v>1441.75</v>
      </c>
      <c r="M91" s="61">
        <v>1441.75</v>
      </c>
      <c r="N91" s="61">
        <v>1441.75</v>
      </c>
      <c r="O91" s="61">
        <v>1441.75</v>
      </c>
      <c r="P91" s="61">
        <f>1441.75+0.02</f>
        <v>1441.77</v>
      </c>
      <c r="Q91" s="61">
        <f t="shared" si="13"/>
        <v>17188.52</v>
      </c>
      <c r="R91" s="61">
        <f>Q91/'Rooms Summary'!$Q$111</f>
        <v>0.62665500018228881</v>
      </c>
      <c r="S91" s="35"/>
      <c r="T91" s="40" t="e">
        <f t="shared" ref="T91:T107" si="14">-IF(Q91-S91=0,0,(Q91-S91)/S91)</f>
        <v>#DIV/0!</v>
      </c>
    </row>
    <row r="92" spans="1:20" s="3" customFormat="1" ht="25.4" customHeight="1">
      <c r="A92" s="3" t="s">
        <v>312</v>
      </c>
      <c r="B92" s="50" t="s">
        <v>356</v>
      </c>
      <c r="D92" s="26" t="s">
        <v>313</v>
      </c>
      <c r="E92" s="61">
        <v>2700</v>
      </c>
      <c r="F92" s="61">
        <v>2700</v>
      </c>
      <c r="G92" s="61">
        <v>2700</v>
      </c>
      <c r="H92" s="61">
        <v>2700</v>
      </c>
      <c r="I92" s="61">
        <v>2700</v>
      </c>
      <c r="J92" s="61">
        <v>2700</v>
      </c>
      <c r="K92" s="61">
        <v>2700</v>
      </c>
      <c r="L92" s="61">
        <v>2700</v>
      </c>
      <c r="M92" s="61">
        <v>2700</v>
      </c>
      <c r="N92" s="61">
        <v>2700</v>
      </c>
      <c r="O92" s="61">
        <v>2700</v>
      </c>
      <c r="P92" s="61">
        <v>2700</v>
      </c>
      <c r="Q92" s="61">
        <f t="shared" si="13"/>
        <v>32400</v>
      </c>
      <c r="R92" s="61">
        <f>Q92/'Rooms Summary'!$Q$111</f>
        <v>1.1812315432571365</v>
      </c>
      <c r="S92" s="35"/>
      <c r="T92" s="40" t="e">
        <f t="shared" si="14"/>
        <v>#DIV/0!</v>
      </c>
    </row>
    <row r="93" spans="1:20" s="3" customFormat="1" ht="25.4" customHeight="1">
      <c r="A93" s="3" t="s">
        <v>314</v>
      </c>
      <c r="B93" s="50" t="s">
        <v>356</v>
      </c>
      <c r="D93" s="26" t="s">
        <v>315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f t="shared" si="13"/>
        <v>0</v>
      </c>
      <c r="R93" s="61">
        <f>Q93/'Rooms Summary'!$Q$111</f>
        <v>0</v>
      </c>
      <c r="S93" s="35"/>
      <c r="T93" s="108">
        <f t="shared" si="14"/>
        <v>0</v>
      </c>
    </row>
    <row r="94" spans="1:20" s="3" customFormat="1" ht="25.4" customHeight="1">
      <c r="A94" s="3" t="s">
        <v>316</v>
      </c>
      <c r="B94" s="50" t="s">
        <v>356</v>
      </c>
      <c r="D94" s="26" t="s">
        <v>317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f t="shared" si="13"/>
        <v>0</v>
      </c>
      <c r="R94" s="61">
        <f>Q94/'Rooms Summary'!$Q$111</f>
        <v>0</v>
      </c>
      <c r="S94" s="35"/>
      <c r="T94" s="40">
        <f t="shared" si="14"/>
        <v>0</v>
      </c>
    </row>
    <row r="95" spans="1:20" s="3" customFormat="1" ht="25.4" customHeight="1">
      <c r="A95" s="253" t="s">
        <v>1067</v>
      </c>
      <c r="B95" s="50" t="s">
        <v>356</v>
      </c>
      <c r="D95" s="26" t="s">
        <v>1130</v>
      </c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>
        <f t="shared" si="13"/>
        <v>0</v>
      </c>
      <c r="R95" s="61">
        <f>Q95/'Rooms Summary'!$Q$111</f>
        <v>0</v>
      </c>
      <c r="S95" s="35"/>
      <c r="T95" s="40">
        <f t="shared" ref="T95" si="15">-IF(Q95-S95=0,0,(Q95-S95)/S95)</f>
        <v>0</v>
      </c>
    </row>
    <row r="96" spans="1:20" s="3" customFormat="1" ht="25.4" customHeight="1">
      <c r="A96" s="253" t="s">
        <v>1067</v>
      </c>
      <c r="B96" s="50" t="s">
        <v>356</v>
      </c>
      <c r="D96" s="26" t="s">
        <v>1068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f t="shared" si="13"/>
        <v>0</v>
      </c>
      <c r="R96" s="61">
        <f>Q96/'Rooms Summary'!$Q$111</f>
        <v>0</v>
      </c>
      <c r="S96" s="35"/>
      <c r="T96" s="40">
        <f t="shared" si="14"/>
        <v>0</v>
      </c>
    </row>
    <row r="97" spans="1:20" s="3" customFormat="1" ht="25.4" customHeight="1">
      <c r="D97" s="19" t="s">
        <v>318</v>
      </c>
      <c r="E97" s="151">
        <f t="shared" ref="E97:P97" si="16">SUM(E90:E96)</f>
        <v>29456</v>
      </c>
      <c r="F97" s="151">
        <f t="shared" si="16"/>
        <v>4104.25</v>
      </c>
      <c r="G97" s="151">
        <f t="shared" si="16"/>
        <v>4104.25</v>
      </c>
      <c r="H97" s="151">
        <f t="shared" si="16"/>
        <v>11995.54</v>
      </c>
      <c r="I97" s="151">
        <f t="shared" si="16"/>
        <v>17231.38</v>
      </c>
      <c r="J97" s="151">
        <f t="shared" si="16"/>
        <v>4141.75</v>
      </c>
      <c r="K97" s="151">
        <f t="shared" si="16"/>
        <v>4141.75</v>
      </c>
      <c r="L97" s="151">
        <f t="shared" si="16"/>
        <v>4141.75</v>
      </c>
      <c r="M97" s="151">
        <f t="shared" si="16"/>
        <v>4141.75</v>
      </c>
      <c r="N97" s="151">
        <f t="shared" si="16"/>
        <v>30321.090000000004</v>
      </c>
      <c r="O97" s="151">
        <f t="shared" si="16"/>
        <v>4141.75</v>
      </c>
      <c r="P97" s="151">
        <f t="shared" si="16"/>
        <v>4141.7700000000004</v>
      </c>
      <c r="Q97" s="151">
        <f t="shared" ref="Q97" si="17">SUM(Q90:Q96)</f>
        <v>122063.03000000001</v>
      </c>
      <c r="R97" s="61">
        <f>Q97/'Rooms Summary'!$Q$111</f>
        <v>4.4501451018994498</v>
      </c>
      <c r="S97" s="35"/>
      <c r="T97" s="40" t="e">
        <f t="shared" si="14"/>
        <v>#DIV/0!</v>
      </c>
    </row>
    <row r="98" spans="1:20" s="3" customFormat="1" ht="25.4" customHeight="1">
      <c r="S98" s="35"/>
      <c r="T98" s="108"/>
    </row>
    <row r="99" spans="1:20" s="3" customFormat="1" ht="25.4" customHeight="1">
      <c r="A99" s="3" t="s">
        <v>319</v>
      </c>
      <c r="B99" s="50" t="s">
        <v>356</v>
      </c>
      <c r="D99" s="26" t="s">
        <v>320</v>
      </c>
      <c r="E99" s="61">
        <v>16367.399999999998</v>
      </c>
      <c r="F99" s="61">
        <v>16367.399999999998</v>
      </c>
      <c r="G99" s="61">
        <v>16367.399999999998</v>
      </c>
      <c r="H99" s="61">
        <v>16367.399999999998</v>
      </c>
      <c r="I99" s="61">
        <v>16367.399999999998</v>
      </c>
      <c r="J99" s="61">
        <v>16367.399999999998</v>
      </c>
      <c r="K99" s="61">
        <v>16367.399999999998</v>
      </c>
      <c r="L99" s="61">
        <v>16367.399999999998</v>
      </c>
      <c r="M99" s="61">
        <v>16367.399999999998</v>
      </c>
      <c r="N99" s="61">
        <v>16367.399999999998</v>
      </c>
      <c r="O99" s="61">
        <v>16367.399999999998</v>
      </c>
      <c r="P99" s="61">
        <v>16367.399999999998</v>
      </c>
      <c r="Q99" s="61">
        <f t="shared" ref="Q99:Q106" si="18">SUM(E99:P99)</f>
        <v>196408.79999999996</v>
      </c>
      <c r="R99" s="61">
        <f>Q99/'Rooms Summary'!$Q$111</f>
        <v>7.1606256152247605</v>
      </c>
      <c r="S99" s="35"/>
      <c r="T99" s="40" t="e">
        <f t="shared" si="14"/>
        <v>#DIV/0!</v>
      </c>
    </row>
    <row r="100" spans="1:20" s="3" customFormat="1" ht="25.4" customHeight="1">
      <c r="A100" s="3" t="s">
        <v>321</v>
      </c>
      <c r="B100" s="50" t="s">
        <v>356</v>
      </c>
      <c r="D100" s="26" t="s">
        <v>322</v>
      </c>
      <c r="E100" s="61">
        <v>6389.8799999999992</v>
      </c>
      <c r="F100" s="61">
        <v>6389.88</v>
      </c>
      <c r="G100" s="61">
        <v>6389.88</v>
      </c>
      <c r="H100" s="61">
        <v>6389.88</v>
      </c>
      <c r="I100" s="61">
        <v>6389.88</v>
      </c>
      <c r="J100" s="61">
        <v>6389.88</v>
      </c>
      <c r="K100" s="61">
        <v>6389.88</v>
      </c>
      <c r="L100" s="61">
        <v>6389.88</v>
      </c>
      <c r="M100" s="61">
        <v>6389.88</v>
      </c>
      <c r="N100" s="61">
        <v>6389.88</v>
      </c>
      <c r="O100" s="61">
        <v>6389.88</v>
      </c>
      <c r="P100" s="61">
        <v>6389.88</v>
      </c>
      <c r="Q100" s="61">
        <f t="shared" si="18"/>
        <v>76678.559999999998</v>
      </c>
      <c r="R100" s="61">
        <f>Q100/'Rooms Summary'!$Q$111</f>
        <v>2.7955288198621897</v>
      </c>
      <c r="S100" s="35"/>
      <c r="T100" s="40" t="e">
        <f t="shared" si="14"/>
        <v>#DIV/0!</v>
      </c>
    </row>
    <row r="101" spans="1:20" s="3" customFormat="1" ht="25.4" customHeight="1">
      <c r="A101" s="3" t="s">
        <v>323</v>
      </c>
      <c r="B101" s="50" t="s">
        <v>356</v>
      </c>
      <c r="D101" s="26" t="s">
        <v>324</v>
      </c>
      <c r="E101" s="61">
        <v>850.72</v>
      </c>
      <c r="F101" s="61">
        <v>850.71999999999991</v>
      </c>
      <c r="G101" s="61">
        <v>850.71999999999991</v>
      </c>
      <c r="H101" s="61">
        <v>850.71999999999991</v>
      </c>
      <c r="I101" s="61">
        <v>850.71999999999991</v>
      </c>
      <c r="J101" s="61">
        <v>850.71999999999991</v>
      </c>
      <c r="K101" s="61">
        <v>850.71999999999991</v>
      </c>
      <c r="L101" s="61">
        <v>850.71999999999991</v>
      </c>
      <c r="M101" s="61">
        <v>850.71999999999991</v>
      </c>
      <c r="N101" s="61">
        <v>850.71999999999991</v>
      </c>
      <c r="O101" s="61">
        <v>850.71999999999991</v>
      </c>
      <c r="P101" s="61">
        <v>850.71999999999991</v>
      </c>
      <c r="Q101" s="61">
        <f t="shared" si="18"/>
        <v>10208.64</v>
      </c>
      <c r="R101" s="61">
        <f>Q101/'Rooms Summary'!$Q$111</f>
        <v>0.37218418462211528</v>
      </c>
      <c r="S101" s="35"/>
      <c r="T101" s="40" t="e">
        <f t="shared" si="14"/>
        <v>#DIV/0!</v>
      </c>
    </row>
    <row r="102" spans="1:20" s="3" customFormat="1" ht="25.4" customHeight="1">
      <c r="A102" s="3" t="s">
        <v>325</v>
      </c>
      <c r="B102" s="50" t="s">
        <v>356</v>
      </c>
      <c r="D102" s="26" t="s">
        <v>326</v>
      </c>
      <c r="E102" s="61">
        <v>425.36</v>
      </c>
      <c r="F102" s="61">
        <v>425.35999999999996</v>
      </c>
      <c r="G102" s="61">
        <v>425.35999999999996</v>
      </c>
      <c r="H102" s="61">
        <v>425.35999999999996</v>
      </c>
      <c r="I102" s="61">
        <v>425.35999999999996</v>
      </c>
      <c r="J102" s="61">
        <v>425.35999999999996</v>
      </c>
      <c r="K102" s="61">
        <v>425.35999999999996</v>
      </c>
      <c r="L102" s="61">
        <v>425.35999999999996</v>
      </c>
      <c r="M102" s="61">
        <v>425.35999999999996</v>
      </c>
      <c r="N102" s="61">
        <v>425.35999999999996</v>
      </c>
      <c r="O102" s="61">
        <v>425.35999999999996</v>
      </c>
      <c r="P102" s="61">
        <v>425.35999999999996</v>
      </c>
      <c r="Q102" s="61">
        <f t="shared" si="18"/>
        <v>5104.32</v>
      </c>
      <c r="R102" s="61">
        <f>Q102/'Rooms Summary'!$Q$111</f>
        <v>0.18609209231105764</v>
      </c>
      <c r="S102" s="35"/>
      <c r="T102" s="40" t="e">
        <f t="shared" si="14"/>
        <v>#DIV/0!</v>
      </c>
    </row>
    <row r="103" spans="1:20" s="3" customFormat="1" ht="25.4" customHeight="1">
      <c r="A103" s="3" t="s">
        <v>327</v>
      </c>
      <c r="B103" s="50" t="s">
        <v>356</v>
      </c>
      <c r="D103" s="26" t="s">
        <v>328</v>
      </c>
      <c r="Q103" s="61">
        <f t="shared" si="18"/>
        <v>0</v>
      </c>
      <c r="R103" s="61">
        <f>Q103/'Rooms Summary'!$Q$111</f>
        <v>0</v>
      </c>
      <c r="S103" s="35"/>
      <c r="T103" s="40">
        <f t="shared" si="14"/>
        <v>0</v>
      </c>
    </row>
    <row r="104" spans="1:20" s="3" customFormat="1" ht="25.4" customHeight="1">
      <c r="A104" s="3" t="s">
        <v>329</v>
      </c>
      <c r="B104" s="50" t="s">
        <v>356</v>
      </c>
      <c r="D104" s="26" t="s">
        <v>330</v>
      </c>
      <c r="E104" s="61">
        <v>8507</v>
      </c>
      <c r="F104" s="61">
        <v>8507</v>
      </c>
      <c r="G104" s="61">
        <v>8507</v>
      </c>
      <c r="H104" s="61">
        <v>8507</v>
      </c>
      <c r="I104" s="61">
        <v>8507</v>
      </c>
      <c r="J104" s="61">
        <v>8507</v>
      </c>
      <c r="K104" s="61">
        <v>8507</v>
      </c>
      <c r="L104" s="61">
        <v>8507</v>
      </c>
      <c r="M104" s="61">
        <v>8507</v>
      </c>
      <c r="N104" s="61">
        <v>8507</v>
      </c>
      <c r="O104" s="61">
        <v>8507</v>
      </c>
      <c r="P104" s="61">
        <v>8507</v>
      </c>
      <c r="Q104" s="61">
        <f t="shared" si="18"/>
        <v>102084</v>
      </c>
      <c r="R104" s="61">
        <f>Q104/'Rooms Summary'!$Q$111</f>
        <v>3.7217543475883188</v>
      </c>
      <c r="S104" s="35"/>
      <c r="T104" s="40" t="e">
        <f t="shared" si="14"/>
        <v>#DIV/0!</v>
      </c>
    </row>
    <row r="105" spans="1:20" s="3" customFormat="1" ht="25.4" customHeight="1">
      <c r="A105" s="3" t="s">
        <v>331</v>
      </c>
      <c r="B105" s="50" t="s">
        <v>356</v>
      </c>
      <c r="D105" s="26" t="s">
        <v>332</v>
      </c>
      <c r="E105" s="61">
        <v>2246.8000000000002</v>
      </c>
      <c r="F105" s="61">
        <v>2246.8000000000002</v>
      </c>
      <c r="G105" s="61">
        <v>2246.8000000000002</v>
      </c>
      <c r="H105" s="61">
        <v>2306.8000000000002</v>
      </c>
      <c r="I105" s="61">
        <v>2306.8000000000002</v>
      </c>
      <c r="J105" s="61">
        <v>2306.8000000000002</v>
      </c>
      <c r="K105" s="61">
        <v>2306.8000000000002</v>
      </c>
      <c r="L105" s="61">
        <v>2306.8000000000002</v>
      </c>
      <c r="M105" s="61">
        <v>2306.8000000000002</v>
      </c>
      <c r="N105" s="61">
        <v>2306.8000000000002</v>
      </c>
      <c r="O105" s="61">
        <v>2306.8000000000002</v>
      </c>
      <c r="P105" s="61">
        <v>2306.8000000000002</v>
      </c>
      <c r="Q105" s="61">
        <f t="shared" si="18"/>
        <v>27501.599999999995</v>
      </c>
      <c r="R105" s="61">
        <f>Q105/'Rooms Summary'!$Q$111</f>
        <v>1.0026468336432242</v>
      </c>
      <c r="S105" s="35"/>
      <c r="T105" s="108"/>
    </row>
    <row r="106" spans="1:20" s="3" customFormat="1" ht="25.4" customHeight="1">
      <c r="A106" s="3" t="s">
        <v>333</v>
      </c>
      <c r="B106" s="50" t="s">
        <v>356</v>
      </c>
      <c r="D106" s="26" t="s">
        <v>334</v>
      </c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>
        <f t="shared" si="18"/>
        <v>0</v>
      </c>
      <c r="R106" s="61">
        <f>Q106/'Rooms Summary'!$Q$111</f>
        <v>0</v>
      </c>
      <c r="S106" s="35"/>
      <c r="T106" s="108"/>
    </row>
    <row r="107" spans="1:20" s="3" customFormat="1" ht="25.4" customHeight="1">
      <c r="D107" s="19" t="s">
        <v>335</v>
      </c>
      <c r="E107" s="151">
        <f t="shared" ref="E107:P107" si="19">SUM(E99:E106)</f>
        <v>34787.160000000003</v>
      </c>
      <c r="F107" s="151">
        <f t="shared" si="19"/>
        <v>34787.160000000003</v>
      </c>
      <c r="G107" s="151">
        <f t="shared" si="19"/>
        <v>34787.160000000003</v>
      </c>
      <c r="H107" s="151">
        <f t="shared" si="19"/>
        <v>34847.160000000003</v>
      </c>
      <c r="I107" s="151">
        <f t="shared" si="19"/>
        <v>34847.160000000003</v>
      </c>
      <c r="J107" s="151">
        <f t="shared" si="19"/>
        <v>34847.160000000003</v>
      </c>
      <c r="K107" s="151">
        <f t="shared" si="19"/>
        <v>34847.160000000003</v>
      </c>
      <c r="L107" s="151">
        <f t="shared" si="19"/>
        <v>34847.160000000003</v>
      </c>
      <c r="M107" s="151">
        <f t="shared" si="19"/>
        <v>34847.160000000003</v>
      </c>
      <c r="N107" s="151">
        <f t="shared" si="19"/>
        <v>34847.160000000003</v>
      </c>
      <c r="O107" s="151">
        <f t="shared" si="19"/>
        <v>34847.160000000003</v>
      </c>
      <c r="P107" s="151">
        <f t="shared" si="19"/>
        <v>34847.160000000003</v>
      </c>
      <c r="Q107" s="151">
        <f t="shared" ref="Q107" si="20">SUM(Q99:Q106)</f>
        <v>417985.92</v>
      </c>
      <c r="R107" s="61">
        <f>Q107/'Rooms Summary'!$Q$111</f>
        <v>15.238831893251668</v>
      </c>
      <c r="S107" s="35"/>
      <c r="T107" s="40" t="e">
        <f t="shared" si="14"/>
        <v>#DIV/0!</v>
      </c>
    </row>
    <row r="108" spans="1:20" s="3" customFormat="1" ht="25.4" customHeight="1">
      <c r="S108" s="35"/>
      <c r="T108" s="108"/>
    </row>
    <row r="109" spans="1:20" s="3" customFormat="1" ht="25.4" customHeight="1">
      <c r="A109" s="3" t="s">
        <v>336</v>
      </c>
      <c r="B109" s="50" t="s">
        <v>356</v>
      </c>
      <c r="D109" s="26" t="s">
        <v>337</v>
      </c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>
        <f t="shared" ref="Q109:Q112" si="21">SUM(E109:P109)</f>
        <v>0</v>
      </c>
      <c r="R109" s="61">
        <f>Q109/'Rooms Summary'!$Q$111</f>
        <v>0</v>
      </c>
      <c r="S109" s="35"/>
      <c r="T109" s="108"/>
    </row>
    <row r="110" spans="1:20" s="3" customFormat="1" ht="25.4" customHeight="1">
      <c r="A110" s="3" t="s">
        <v>338</v>
      </c>
      <c r="B110" s="50" t="s">
        <v>356</v>
      </c>
      <c r="D110" s="3" t="s">
        <v>339</v>
      </c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>
        <f t="shared" si="21"/>
        <v>0</v>
      </c>
      <c r="R110" s="61">
        <f>Q110/'Rooms Summary'!$Q$111</f>
        <v>0</v>
      </c>
      <c r="S110" s="35"/>
      <c r="T110" s="108"/>
    </row>
    <row r="111" spans="1:20" s="3" customFormat="1" ht="25.4" customHeight="1">
      <c r="A111" s="3" t="s">
        <v>340</v>
      </c>
      <c r="B111" s="50" t="s">
        <v>356</v>
      </c>
      <c r="D111" s="26" t="s">
        <v>341</v>
      </c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>
        <f t="shared" si="21"/>
        <v>0</v>
      </c>
      <c r="R111" s="61">
        <f>Q111/'Rooms Summary'!$Q$111</f>
        <v>0</v>
      </c>
      <c r="S111" s="35"/>
      <c r="T111" s="108"/>
    </row>
    <row r="112" spans="1:20" s="3" customFormat="1" ht="25.4" customHeight="1">
      <c r="A112" s="3" t="s">
        <v>342</v>
      </c>
      <c r="B112" s="50" t="s">
        <v>356</v>
      </c>
      <c r="D112" s="26" t="s">
        <v>343</v>
      </c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>
        <f t="shared" si="21"/>
        <v>0</v>
      </c>
      <c r="R112" s="61">
        <f>Q112/'Rooms Summary'!$Q$111</f>
        <v>0</v>
      </c>
      <c r="S112" s="35"/>
      <c r="T112" s="108"/>
    </row>
    <row r="113" spans="1:20" s="3" customFormat="1" ht="25.4" customHeight="1">
      <c r="A113" s="3" t="s">
        <v>344</v>
      </c>
      <c r="B113" s="50" t="s">
        <v>356</v>
      </c>
      <c r="D113" s="26" t="s">
        <v>345</v>
      </c>
      <c r="E113" s="61">
        <v>1140</v>
      </c>
      <c r="F113" s="61">
        <v>1520</v>
      </c>
      <c r="G113" s="61">
        <v>1140</v>
      </c>
      <c r="H113" s="61">
        <v>1200</v>
      </c>
      <c r="I113" s="61">
        <v>1200</v>
      </c>
      <c r="J113" s="61">
        <v>1200</v>
      </c>
      <c r="K113" s="61">
        <v>1200</v>
      </c>
      <c r="L113" s="61">
        <v>1200</v>
      </c>
      <c r="M113" s="61">
        <v>1200</v>
      </c>
      <c r="N113" s="61">
        <v>1200</v>
      </c>
      <c r="O113" s="61">
        <v>1200</v>
      </c>
      <c r="P113" s="61">
        <v>1200</v>
      </c>
      <c r="Q113" s="61">
        <f>SUM(E113:P113)</f>
        <v>14600</v>
      </c>
      <c r="R113" s="61">
        <f>Q113/'Rooms Summary'!$Q$111</f>
        <v>0.53228334973932701</v>
      </c>
      <c r="S113" s="35"/>
      <c r="T113" s="40" t="e">
        <f>-IF(Q113-S113=0,0,(Q113-S113)/S113)</f>
        <v>#DIV/0!</v>
      </c>
    </row>
    <row r="114" spans="1:20" s="3" customFormat="1" ht="25.4" customHeight="1">
      <c r="A114" s="3" t="s">
        <v>346</v>
      </c>
      <c r="B114" s="50" t="s">
        <v>356</v>
      </c>
      <c r="D114" s="26" t="s">
        <v>1190</v>
      </c>
      <c r="E114" s="61">
        <v>6758.8699999999972</v>
      </c>
      <c r="F114" s="61">
        <v>6732.2699999999995</v>
      </c>
      <c r="G114" s="61">
        <v>6705.8599999999969</v>
      </c>
      <c r="H114" s="61">
        <v>7031.2000000000035</v>
      </c>
      <c r="I114" s="61">
        <v>6844.2</v>
      </c>
      <c r="J114" s="61">
        <v>6741.5999999999995</v>
      </c>
      <c r="K114" s="61">
        <v>6617.6000000000013</v>
      </c>
      <c r="L114" s="61">
        <v>6617.6000000000013</v>
      </c>
      <c r="M114" s="61">
        <v>6569.4000000000033</v>
      </c>
      <c r="N114" s="61">
        <v>6521.8000000000011</v>
      </c>
      <c r="O114" s="61">
        <v>6498.1999999999989</v>
      </c>
      <c r="P114" s="61">
        <v>6474.7999999999975</v>
      </c>
      <c r="Q114" s="61">
        <f>SUM(E114:P114)</f>
        <v>80113.399999999994</v>
      </c>
      <c r="R114" s="61">
        <f>Q114/'Rooms Summary'!$Q$111</f>
        <v>2.9207554048634656</v>
      </c>
      <c r="S114" s="35"/>
      <c r="T114" s="40" t="e">
        <f t="shared" ref="T114:T117" si="22">-IF(Q114-S114=0,0,(Q114-S114)/S114)</f>
        <v>#DIV/0!</v>
      </c>
    </row>
    <row r="115" spans="1:20" s="3" customFormat="1" ht="25.4" customHeight="1">
      <c r="A115" s="3" t="s">
        <v>348</v>
      </c>
      <c r="B115" s="50" t="s">
        <v>356</v>
      </c>
      <c r="D115" s="26" t="s">
        <v>1205</v>
      </c>
      <c r="E115" s="61">
        <v>20011.75</v>
      </c>
      <c r="F115" s="61">
        <v>19681.909999999996</v>
      </c>
      <c r="G115" s="61">
        <v>19424.840000000004</v>
      </c>
      <c r="H115" s="61">
        <v>20539.599999999995</v>
      </c>
      <c r="I115" s="61">
        <v>20123.399999999994</v>
      </c>
      <c r="J115" s="61">
        <v>19772.200000000004</v>
      </c>
      <c r="K115" s="61">
        <v>19612.599999999999</v>
      </c>
      <c r="L115" s="61">
        <v>19648.399999999994</v>
      </c>
      <c r="M115" s="61">
        <v>19728</v>
      </c>
      <c r="N115" s="61">
        <v>19874.19999999999</v>
      </c>
      <c r="O115" s="61">
        <v>19631.600000000006</v>
      </c>
      <c r="P115" s="61">
        <v>19568.399999999994</v>
      </c>
      <c r="Q115" s="61">
        <f>SUM(E115:P115)</f>
        <v>237616.89999999997</v>
      </c>
      <c r="R115" s="61">
        <f>Q115/'Rooms Summary'!$Q$111</f>
        <v>8.6629807867585384</v>
      </c>
      <c r="S115" s="35"/>
      <c r="T115" s="40" t="e">
        <f t="shared" si="22"/>
        <v>#DIV/0!</v>
      </c>
    </row>
    <row r="116" spans="1:20" s="3" customFormat="1" ht="25.4" customHeight="1">
      <c r="B116" s="50"/>
      <c r="D116" s="19" t="s">
        <v>350</v>
      </c>
      <c r="E116" s="151">
        <f>SUM(E109:E115)</f>
        <v>27910.619999999995</v>
      </c>
      <c r="F116" s="151">
        <f t="shared" ref="F116:Q116" si="23">SUM(F109:F115)</f>
        <v>27934.179999999997</v>
      </c>
      <c r="G116" s="151">
        <f t="shared" si="23"/>
        <v>27270.7</v>
      </c>
      <c r="H116" s="151">
        <f t="shared" si="23"/>
        <v>28770.799999999999</v>
      </c>
      <c r="I116" s="151">
        <f t="shared" si="23"/>
        <v>28167.599999999995</v>
      </c>
      <c r="J116" s="151">
        <f t="shared" si="23"/>
        <v>27713.800000000003</v>
      </c>
      <c r="K116" s="151">
        <f t="shared" si="23"/>
        <v>27430.2</v>
      </c>
      <c r="L116" s="151">
        <f t="shared" si="23"/>
        <v>27465.999999999996</v>
      </c>
      <c r="M116" s="151">
        <f t="shared" si="23"/>
        <v>27497.4</v>
      </c>
      <c r="N116" s="151">
        <f t="shared" si="23"/>
        <v>27595.999999999993</v>
      </c>
      <c r="O116" s="151">
        <f t="shared" si="23"/>
        <v>27329.800000000003</v>
      </c>
      <c r="P116" s="151">
        <f t="shared" si="23"/>
        <v>27243.19999999999</v>
      </c>
      <c r="Q116" s="151">
        <f t="shared" si="23"/>
        <v>332330.29999999993</v>
      </c>
      <c r="R116" s="61">
        <f>Q116/'Rooms Summary'!$Q$111</f>
        <v>12.116019541361331</v>
      </c>
      <c r="S116" s="35"/>
      <c r="T116" s="40" t="e">
        <f t="shared" si="22"/>
        <v>#DIV/0!</v>
      </c>
    </row>
    <row r="117" spans="1:20" s="3" customFormat="1" ht="25.4" customHeight="1">
      <c r="D117" s="19" t="s">
        <v>351</v>
      </c>
      <c r="E117" s="151">
        <f t="shared" ref="E117:Q117" si="24">E88+E97+E107+E116</f>
        <v>204493.78</v>
      </c>
      <c r="F117" s="151">
        <f t="shared" si="24"/>
        <v>179165.59</v>
      </c>
      <c r="G117" s="151">
        <f t="shared" si="24"/>
        <v>178502.11000000002</v>
      </c>
      <c r="H117" s="151">
        <f t="shared" si="24"/>
        <v>190953.5</v>
      </c>
      <c r="I117" s="151">
        <f t="shared" si="24"/>
        <v>195586.14</v>
      </c>
      <c r="J117" s="151">
        <f t="shared" si="24"/>
        <v>182042.71000000002</v>
      </c>
      <c r="K117" s="151">
        <f t="shared" si="24"/>
        <v>181759.11000000002</v>
      </c>
      <c r="L117" s="151">
        <f t="shared" si="24"/>
        <v>181794.91</v>
      </c>
      <c r="M117" s="151">
        <f t="shared" si="24"/>
        <v>181826.31</v>
      </c>
      <c r="N117" s="151">
        <f t="shared" si="24"/>
        <v>208104.25</v>
      </c>
      <c r="O117" s="151">
        <f t="shared" si="24"/>
        <v>181658.71000000002</v>
      </c>
      <c r="P117" s="151">
        <f t="shared" si="24"/>
        <v>181572.12999999998</v>
      </c>
      <c r="Q117" s="151">
        <f t="shared" si="24"/>
        <v>2247459.25</v>
      </c>
      <c r="R117" s="61">
        <f>Q117/'Rooms Summary'!$Q$111</f>
        <v>81.937338218673673</v>
      </c>
      <c r="S117" s="35"/>
      <c r="T117" s="40" t="e">
        <f t="shared" si="22"/>
        <v>#DIV/0!</v>
      </c>
    </row>
    <row r="118" spans="1:20" s="42" customFormat="1" ht="25.4" customHeight="1">
      <c r="A118" s="42" t="s">
        <v>352</v>
      </c>
      <c r="D118" s="42" t="s">
        <v>353</v>
      </c>
      <c r="Q118" s="42">
        <f>Q117-Q95-Q96</f>
        <v>2247459.25</v>
      </c>
      <c r="S118" s="35"/>
      <c r="T118" s="108"/>
    </row>
    <row r="119" spans="1:20" s="42" customFormat="1" ht="25.4" customHeight="1">
      <c r="S119" s="35"/>
      <c r="T119" s="108"/>
    </row>
    <row r="120" spans="1:20" s="3" customFormat="1" ht="25.4" customHeight="1">
      <c r="A120" s="177" t="s">
        <v>108</v>
      </c>
      <c r="B120" s="69" t="s">
        <v>356</v>
      </c>
      <c r="D120" s="19" t="s">
        <v>354</v>
      </c>
      <c r="E120" s="65">
        <v>19</v>
      </c>
      <c r="F120" s="65">
        <v>19</v>
      </c>
      <c r="G120" s="65">
        <v>19</v>
      </c>
      <c r="H120" s="65">
        <v>20</v>
      </c>
      <c r="I120" s="65">
        <v>20</v>
      </c>
      <c r="J120" s="65">
        <v>20</v>
      </c>
      <c r="K120" s="65">
        <v>20</v>
      </c>
      <c r="L120" s="65">
        <v>20</v>
      </c>
      <c r="M120" s="65">
        <v>20</v>
      </c>
      <c r="N120" s="65">
        <v>20</v>
      </c>
      <c r="O120" s="65">
        <v>20</v>
      </c>
      <c r="P120" s="65">
        <v>20</v>
      </c>
      <c r="Q120" s="65">
        <f>SUM(E120:P120)/12</f>
        <v>19.75</v>
      </c>
      <c r="S120" s="35"/>
      <c r="T120" s="40" t="e">
        <f>-IF(Q120-S120=0,0,(Q120-S120)/S120)</f>
        <v>#DIV/0!</v>
      </c>
    </row>
    <row r="122" spans="1:20" ht="26.25" customHeight="1">
      <c r="D122" s="58"/>
    </row>
  </sheetData>
  <phoneticPr fontId="56" type="noConversion"/>
  <dataValidations count="45">
    <dataValidation type="textLength" errorStyle="information" allowBlank="1" showInputMessage="1" showErrorMessage="1" sqref="E83:I85">
      <formula1>0</formula1>
      <formula2>300</formula2>
    </dataValidation>
    <dataValidation type="textLength" errorStyle="information" allowBlank="1" showInputMessage="1" showErrorMessage="1" error="XLBVal:6=15581.42_x000d__x000a_" sqref="E91:P91">
      <formula1>0</formula1>
      <formula2>300</formula2>
    </dataValidation>
    <dataValidation type="textLength" errorStyle="information" allowBlank="1" showInputMessage="1" showErrorMessage="1" error="XLBVal:6=3293096_x000d__x000a_" sqref="Q21">
      <formula1>0</formula1>
      <formula2>300</formula2>
    </dataValidation>
    <dataValidation type="textLength" errorStyle="information" allowBlank="1" showInputMessage="1" showErrorMessage="1" error="XLBVal:6=1439748_x000d__x000a_" sqref="Q99:Q105">
      <formula1>0</formula1>
      <formula2>300</formula2>
    </dataValidation>
    <dataValidation type="textLength" errorStyle="information" allowBlank="1" showInputMessage="1" showErrorMessage="1" error="XLBVal:6=265776_x000d__x000a_" sqref="Q80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226546.19_x000d__x000a_" sqref="E11:P11">
      <formula1>0</formula1>
      <formula2>300</formula2>
    </dataValidation>
    <dataValidation type="textLength" errorStyle="information" allowBlank="1" showInputMessage="1" showErrorMessage="1" error="XLBVal:6=18155331_x000d__x000a_" sqref="Q11">
      <formula1>0</formula1>
      <formula2>300</formula2>
    </dataValidation>
    <dataValidation type="textLength" errorStyle="information" allowBlank="1" showInputMessage="1" showErrorMessage="1" error="XLBVal:6=0_x000d__x000a_" sqref="E82:Q82 E72:P72 E14:P14">
      <formula1>0</formula1>
      <formula2>300</formula2>
    </dataValidation>
    <dataValidation type="textLength" errorStyle="information" allowBlank="1" showInputMessage="1" showErrorMessage="1" error="XLBVal:6=48_x000d__x000a_" sqref="E120:Q120">
      <formula1>0</formula1>
      <formula2>300</formula2>
    </dataValidation>
    <dataValidation type="textLength" errorStyle="information" allowBlank="1" showInputMessage="1" showErrorMessage="1" error="XLBVal:2=0_x000d__x000a_" sqref="Q20 Q50:Q67 Q72 E81:Q81 Q86 Q92:Q96 E109:P115 Q26:Q27 Q31:Q32 Q35:Q36 Q38:Q41 Q43:Q48 J23:Q23 E70:Q70 E74:P76 J20:P22 E20:I23 E30:P38 E15:P18 E106:Q106 E26:P28 E40:P41 E43:P66 E94:P96 Q109:Q114 Q74:Q77 E24:Q24 E78:Q79 F12">
      <formula1>0</formula1>
      <formula2>300</formula2>
    </dataValidation>
    <dataValidation type="textLength" errorStyle="information" allowBlank="1" showInputMessage="1" showErrorMessage="1" error="XLBVal:6=46954.93_x000d__x000a_" sqref="E19:P19">
      <formula1>0</formula1>
      <formula2>300</formula2>
    </dataValidation>
    <dataValidation type="textLength" errorStyle="information" allowBlank="1" showInputMessage="1" showErrorMessage="1" error="XLBVal:6=40347.72_x000d__x000a_" sqref="E86:P87">
      <formula1>0</formula1>
      <formula2>300</formula2>
    </dataValidation>
    <dataValidation type="textLength" errorStyle="information" allowBlank="1" showInputMessage="1" showErrorMessage="1" error="XLBVal:6=6595485.04_x000d__x000a_" sqref="G12:P12">
      <formula1>0</formula1>
      <formula2>300</formula2>
    </dataValidation>
    <dataValidation type="textLength" errorStyle="information" allowBlank="1" showInputMessage="1" showErrorMessage="1" error="XLBVal:6=224000_x000d__x000a_" sqref="Q22">
      <formula1>0</formula1>
      <formula2>300</formula2>
    </dataValidation>
    <dataValidation type="textLength" errorStyle="information" allowBlank="1" showInputMessage="1" showErrorMessage="1" error="XLBVal:6=533.97_x000d__x000a_" sqref="E25:P25">
      <formula1>0</formula1>
      <formula2>300</formula2>
    </dataValidation>
    <dataValidation type="textLength" errorStyle="information" allowBlank="1" showInputMessage="1" showErrorMessage="1" error="XLBVal:6=-1310.21_x000d__x000a_" sqref="E29:P29 E68:P68 E39:P39">
      <formula1>0</formula1>
      <formula2>300</formula2>
    </dataValidation>
    <dataValidation type="textLength" errorStyle="information" allowBlank="1" showInputMessage="1" showErrorMessage="1" error="XLBVal:6=38000_x000d__x000a_" sqref="Q25">
      <formula1>0</formula1>
      <formula2>300</formula2>
    </dataValidation>
    <dataValidation type="textLength" errorStyle="information" allowBlank="1" showInputMessage="1" showErrorMessage="1" error="XLBVal:6=30984_x000d__x000a_" sqref="Q28">
      <formula1>0</formula1>
      <formula2>300</formula2>
    </dataValidation>
    <dataValidation type="textLength" errorStyle="information" allowBlank="1" showInputMessage="1" showErrorMessage="1" error="XLBVal:6=6864605_x000d__x000a_" sqref="Q29">
      <formula1>0</formula1>
      <formula2>300</formula2>
    </dataValidation>
    <dataValidation type="textLength" errorStyle="information" allowBlank="1" showInputMessage="1" showErrorMessage="1" error="XLBVal:6=812280_x000d__x000a_" sqref="Q30">
      <formula1>0</formula1>
      <formula2>300</formula2>
    </dataValidation>
    <dataValidation type="textLength" errorStyle="information" allowBlank="1" showInputMessage="1" showErrorMessage="1" error="XLBVal:6=45391_x000d__x000a_" sqref="Q33">
      <formula1>0</formula1>
      <formula2>300</formula2>
    </dataValidation>
    <dataValidation type="textLength" errorStyle="information" allowBlank="1" showInputMessage="1" showErrorMessage="1" error="XLBVal:6=58_x000d__x000a_" sqref="E73:P73">
      <formula1>0</formula1>
      <formula2>300</formula2>
    </dataValidation>
    <dataValidation type="textLength" errorStyle="information" allowBlank="1" showInputMessage="1" showErrorMessage="1" error="XLBVal:6=497071_x000d__x000a_" sqref="Q34">
      <formula1>0</formula1>
      <formula2>300</formula2>
    </dataValidation>
    <dataValidation type="textLength" errorStyle="information" allowBlank="1" showInputMessage="1" showErrorMessage="1" error="XLBVal:6=604513_x000d__x000a_" sqref="Q37">
      <formula1>0</formula1>
      <formula2>300</formula2>
    </dataValidation>
    <dataValidation type="textLength" errorStyle="information" allowBlank="1" showInputMessage="1" showErrorMessage="1" error="XLBVal:6=650_x000d__x000a_" sqref="E92:P93">
      <formula1>0</formula1>
      <formula2>300</formula2>
    </dataValidation>
    <dataValidation type="textLength" errorStyle="information" allowBlank="1" showInputMessage="1" showErrorMessage="1" error="XLBVal:6=1019_x000d__x000a_" sqref="E42:P42">
      <formula1>0</formula1>
      <formula2>300</formula2>
    </dataValidation>
    <dataValidation type="textLength" errorStyle="information" allowBlank="1" showInputMessage="1" showErrorMessage="1" error="XLBVal:6=6688509.16_x000d__x000a_" sqref="E12:E13 F13:P13">
      <formula1>0</formula1>
      <formula2>300</formula2>
    </dataValidation>
    <dataValidation type="textLength" errorStyle="information" allowBlank="1" showInputMessage="1" showErrorMessage="1" error="XLBVal:6=133777_x000d__x000a_" sqref="Q42">
      <formula1>0</formula1>
      <formula2>300</formula2>
    </dataValidation>
    <dataValidation type="textLength" errorStyle="information" allowBlank="1" showInputMessage="1" showErrorMessage="1" error="XLBVal:6=1640556_x000d__x000a_" sqref="Q91">
      <formula1>0</formula1>
      <formula2>300</formula2>
    </dataValidation>
    <dataValidation type="textLength" errorStyle="information" allowBlank="1" showInputMessage="1" showErrorMessage="1" error="XLBVal:6=497000_x000d__x000a_" sqref="Q49">
      <formula1>0</formula1>
      <formula2>300</formula2>
    </dataValidation>
    <dataValidation type="textLength" errorStyle="information" allowBlank="1" showInputMessage="1" showErrorMessage="1" error="XLBVal:6=646.26_x000d__x000a_" sqref="E67:P67">
      <formula1>0</formula1>
      <formula2>300</formula2>
    </dataValidation>
    <dataValidation type="textLength" errorStyle="information" allowBlank="1" showInputMessage="1" showErrorMessage="1" error="XLBVal:6=128852_x000d__x000a_" sqref="Q68">
      <formula1>0</formula1>
      <formula2>300</formula2>
    </dataValidation>
    <dataValidation type="textLength" errorStyle="information" allowBlank="1" showInputMessage="1" showErrorMessage="1" error="XLBVal:6=541.23_x000d__x000a_" sqref="E69:P69">
      <formula1>0</formula1>
      <formula2>300</formula2>
    </dataValidation>
    <dataValidation type="textLength" errorStyle="information" allowBlank="1" showInputMessage="1" showErrorMessage="1" error="XLBVal:6=2195857_x000d__x000a_" sqref="Q69">
      <formula1>0</formula1>
      <formula2>300</formula2>
    </dataValidation>
    <dataValidation type="textLength" errorStyle="information" allowBlank="1" showInputMessage="1" showErrorMessage="1" error="XLBVal:6=913200_x000d__x000a_" sqref="Q71">
      <formula1>0</formula1>
      <formula2>300</formula2>
    </dataValidation>
    <dataValidation type="textLength" errorStyle="information" allowBlank="1" showInputMessage="1" showErrorMessage="1" error="XLBVal:6=78120_x000d__x000a_" sqref="Q73">
      <formula1>0</formula1>
      <formula2>300</formula2>
    </dataValidation>
    <dataValidation type="textLength" errorStyle="information" allowBlank="1" showInputMessage="1" showErrorMessage="1" error="XLBVal:6=70_x000d__x000a_" sqref="E80:P80">
      <formula1>0</formula1>
      <formula2>300</formula2>
    </dataValidation>
    <dataValidation type="textLength" errorStyle="information" allowBlank="1" showInputMessage="1" showErrorMessage="1" error="XLBVal:6=2793648_x000d__x000a_" sqref="Q87">
      <formula1>0</formula1>
      <formula2>300</formula2>
    </dataValidation>
    <dataValidation type="textLength" errorStyle="information" allowBlank="1" showInputMessage="1" showErrorMessage="1" error="XLBVal:6=2502.46_x000d__x000a_" sqref="E90:P90">
      <formula1>0</formula1>
      <formula2>300</formula2>
    </dataValidation>
    <dataValidation type="textLength" errorStyle="information" allowBlank="1" showInputMessage="1" showErrorMessage="1" error="XLBVal:6=447561_x000d__x000a_" sqref="Q90">
      <formula1>0</formula1>
      <formula2>300</formula2>
    </dataValidation>
    <dataValidation type="textLength" errorStyle="information" allowBlank="1" showInputMessage="1" showErrorMessage="1" error="XLBVal:6=3099839_x000d__x000a_" sqref="Q115">
      <formula1>0</formula1>
      <formula2>300</formula2>
    </dataValidation>
    <dataValidation type="textLength" errorStyle="information" allowBlank="1" showInputMessage="1" showErrorMessage="1" error="XLBVal:6=10508400_x000d__x000a_" sqref="Q14:Q19">
      <formula1>0</formula1>
      <formula2>300</formula2>
    </dataValidation>
    <dataValidation type="textLength" errorStyle="information" allowBlank="1" showInputMessage="1" showErrorMessage="1" error="XLBVal:6=1119.5_x000d__x000a_" sqref="E71:P71">
      <formula1>0</formula1>
      <formula2>300</formula2>
    </dataValidation>
    <dataValidation type="textLength" errorStyle="information" allowBlank="1" showInputMessage="1" showErrorMessage="1" error="XLBVal:6=10459.34_x000d__x000a_" sqref="E104:P105 E99:P10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43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9">
    <pageSetUpPr fitToPage="1"/>
  </sheetPr>
  <dimension ref="A1:W122"/>
  <sheetViews>
    <sheetView zoomScale="50" zoomScaleNormal="50" zoomScaleSheetLayoutView="40" workbookViewId="0">
      <pane xSplit="4" ySplit="10" topLeftCell="E28" activePane="bottomRight" state="frozen"/>
      <selection activeCell="A77" sqref="A77:XFD77"/>
      <selection pane="topRight" activeCell="A77" sqref="A77:XFD77"/>
      <selection pane="bottomLeft" activeCell="A77" sqref="A77:XFD77"/>
      <selection pane="bottomRight" activeCell="E69" sqref="E69:P69"/>
    </sheetView>
  </sheetViews>
  <sheetFormatPr defaultColWidth="8.90625" defaultRowHeight="26.25" customHeight="1" outlineLevelRow="1" outlineLevelCol="1"/>
  <cols>
    <col min="1" max="1" width="20.08984375" style="5" hidden="1" customWidth="1" outlineLevel="1"/>
    <col min="2" max="3" width="15.453125" style="5" hidden="1" customWidth="1" outlineLevel="1"/>
    <col min="4" max="4" width="69.08984375" style="6" customWidth="1" collapsed="1"/>
    <col min="5" max="9" width="25.36328125" style="7" customWidth="1"/>
    <col min="10" max="11" width="25.36328125" style="174" customWidth="1"/>
    <col min="12" max="12" width="25.36328125" style="5" customWidth="1"/>
    <col min="13" max="17" width="25.36328125" style="174" customWidth="1"/>
    <col min="18" max="18" width="13.453125" style="174" customWidth="1"/>
    <col min="19" max="19" width="22.453125" style="178" hidden="1" customWidth="1"/>
    <col min="20" max="20" width="22.453125" style="179" hidden="1" customWidth="1"/>
    <col min="21" max="21" width="0" style="174" hidden="1" customWidth="1"/>
    <col min="22" max="22" width="20" style="174" customWidth="1"/>
    <col min="23" max="23" width="16.08984375" style="174" bestFit="1" customWidth="1"/>
    <col min="24" max="16384" width="8.90625" style="174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  <c r="T1" s="167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  <c r="T2" s="167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  <c r="T3" s="167"/>
    </row>
    <row r="4" spans="1:20" s="2" customFormat="1" ht="25.4" customHeight="1">
      <c r="D4" s="10" t="str">
        <f>Summary!D4</f>
        <v>Hotel Budget Report</v>
      </c>
      <c r="E4" s="11"/>
      <c r="F4" s="11"/>
      <c r="G4" s="12"/>
      <c r="H4" s="13"/>
      <c r="I4" s="13"/>
      <c r="S4" s="33"/>
      <c r="T4" s="180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  <c r="T5" s="180"/>
    </row>
    <row r="6" spans="1:20" s="2" customFormat="1" ht="25.4" customHeight="1">
      <c r="D6" s="14" t="s">
        <v>358</v>
      </c>
      <c r="E6" s="13"/>
      <c r="F6" s="13"/>
      <c r="G6" s="13"/>
      <c r="H6" s="13"/>
      <c r="I6" s="13"/>
      <c r="S6" s="33"/>
      <c r="T6" s="180"/>
    </row>
    <row r="7" spans="1:20" s="2" customFormat="1" ht="25.4" customHeight="1">
      <c r="D7" s="10">
        <f>Parameter!H4</f>
        <v>2025</v>
      </c>
      <c r="E7" s="13"/>
      <c r="F7" s="13"/>
      <c r="G7" s="13"/>
      <c r="H7" s="13"/>
      <c r="I7" s="13"/>
      <c r="S7" s="33"/>
      <c r="T7" s="180"/>
    </row>
    <row r="8" spans="1:20" ht="25.4" customHeight="1">
      <c r="A8" s="174"/>
      <c r="B8" s="174"/>
      <c r="C8" s="174"/>
      <c r="D8" s="175"/>
      <c r="E8" s="176"/>
      <c r="F8" s="176"/>
      <c r="G8" s="176"/>
      <c r="H8" s="176"/>
      <c r="I8" s="17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109"/>
      <c r="T9" s="110"/>
    </row>
    <row r="10" spans="1:20" s="4" customFormat="1" ht="40.4" customHeight="1">
      <c r="A10" s="19" t="s">
        <v>18</v>
      </c>
      <c r="B10" s="19" t="s">
        <v>19</v>
      </c>
      <c r="C10" s="19" t="s">
        <v>114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A11" s="3" t="s">
        <v>106</v>
      </c>
      <c r="B11" s="50" t="s">
        <v>303</v>
      </c>
      <c r="D11" s="21" t="s">
        <v>139</v>
      </c>
      <c r="E11" s="45">
        <f>E117</f>
        <v>349673.97000000003</v>
      </c>
      <c r="F11" s="45">
        <f t="shared" ref="F11:P11" si="0">F117</f>
        <v>370116.63999999996</v>
      </c>
      <c r="G11" s="45">
        <f t="shared" si="0"/>
        <v>340354.28</v>
      </c>
      <c r="H11" s="45">
        <f t="shared" si="0"/>
        <v>349657.12</v>
      </c>
      <c r="I11" s="45">
        <f t="shared" si="0"/>
        <v>361843.03999999992</v>
      </c>
      <c r="J11" s="45">
        <f t="shared" si="0"/>
        <v>344416.45999999996</v>
      </c>
      <c r="K11" s="45">
        <f t="shared" si="0"/>
        <v>387835.02</v>
      </c>
      <c r="L11" s="45">
        <f t="shared" si="0"/>
        <v>392810.44999999995</v>
      </c>
      <c r="M11" s="45">
        <f t="shared" si="0"/>
        <v>339667.85</v>
      </c>
      <c r="N11" s="45">
        <f t="shared" si="0"/>
        <v>379655.11999999994</v>
      </c>
      <c r="O11" s="45">
        <f t="shared" si="0"/>
        <v>353560.91</v>
      </c>
      <c r="P11" s="45">
        <f t="shared" si="0"/>
        <v>364112.17</v>
      </c>
      <c r="Q11" s="169">
        <f>SUM(E11:P11)</f>
        <v>4333703.0300000012</v>
      </c>
      <c r="R11" s="39">
        <f>Q11/'Rooms Summary'!$Q$20</f>
        <v>9.8594660219587071E-2</v>
      </c>
      <c r="S11" s="35"/>
      <c r="T11" s="40" t="e">
        <f>-IF(Q11-S11=0,0,(Q11-S11)/S11)</f>
        <v>#DIV/0!</v>
      </c>
    </row>
    <row r="12" spans="1:20" s="3" customFormat="1" ht="25.4" customHeight="1">
      <c r="D12" s="26"/>
      <c r="E12" s="63"/>
      <c r="F12" s="63"/>
      <c r="G12" s="63"/>
      <c r="H12" s="63"/>
      <c r="I12" s="63"/>
      <c r="L12" s="152"/>
      <c r="S12" s="35"/>
      <c r="T12" s="108"/>
    </row>
    <row r="13" spans="1:20" s="3" customFormat="1" ht="24.75" customHeight="1">
      <c r="D13" s="21" t="s">
        <v>140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3">
        <f t="shared" ref="Q13" si="1">SUM(E13:P13)</f>
        <v>0</v>
      </c>
      <c r="R13" s="34" t="s">
        <v>141</v>
      </c>
      <c r="S13" s="35"/>
      <c r="T13" s="108"/>
    </row>
    <row r="14" spans="1:20" s="3" customFormat="1" ht="25.4" customHeight="1">
      <c r="A14" s="3" t="s">
        <v>142</v>
      </c>
      <c r="B14" s="50" t="s">
        <v>303</v>
      </c>
      <c r="D14" s="26" t="s">
        <v>143</v>
      </c>
      <c r="E14" s="63"/>
      <c r="F14" s="63"/>
      <c r="G14" s="63"/>
      <c r="H14" s="63"/>
      <c r="I14" s="63"/>
      <c r="J14" s="61"/>
      <c r="K14" s="61"/>
      <c r="L14" s="61"/>
      <c r="M14" s="61"/>
      <c r="N14" s="61"/>
      <c r="O14" s="61"/>
      <c r="P14" s="61"/>
      <c r="Q14" s="61">
        <f>SUM(E14:P14)</f>
        <v>0</v>
      </c>
      <c r="R14" s="61">
        <f>Q14/'Rooms Summary'!$Q$111</f>
        <v>0</v>
      </c>
      <c r="S14" s="35"/>
      <c r="T14" s="108" t="e">
        <f t="shared" ref="T14:T17" si="2">(Q14-S14)/S14</f>
        <v>#DIV/0!</v>
      </c>
    </row>
    <row r="15" spans="1:20" s="3" customFormat="1" ht="25.4" hidden="1" customHeight="1">
      <c r="A15" s="3" t="s">
        <v>144</v>
      </c>
      <c r="B15" s="50" t="s">
        <v>303</v>
      </c>
      <c r="D15" s="26" t="s">
        <v>145</v>
      </c>
      <c r="E15" s="63"/>
      <c r="F15" s="63"/>
      <c r="G15" s="63"/>
      <c r="H15" s="63"/>
      <c r="I15" s="63"/>
      <c r="J15" s="61"/>
      <c r="K15" s="61"/>
      <c r="L15" s="61"/>
      <c r="M15" s="61"/>
      <c r="N15" s="61"/>
      <c r="O15" s="61"/>
      <c r="P15" s="61"/>
      <c r="Q15" s="61">
        <f t="shared" ref="Q15:Q80" si="3">SUM(E15:P15)</f>
        <v>0</v>
      </c>
      <c r="R15" s="61">
        <f>Q15/'Rooms Summary'!$Q$111</f>
        <v>0</v>
      </c>
      <c r="S15" s="35"/>
      <c r="T15" s="108" t="e">
        <f t="shared" si="2"/>
        <v>#DIV/0!</v>
      </c>
    </row>
    <row r="16" spans="1:20" s="3" customFormat="1" ht="25.4" hidden="1" customHeight="1">
      <c r="A16" s="3" t="s">
        <v>146</v>
      </c>
      <c r="B16" s="50" t="s">
        <v>303</v>
      </c>
      <c r="D16" s="26" t="s">
        <v>147</v>
      </c>
      <c r="E16" s="63"/>
      <c r="F16" s="63"/>
      <c r="G16" s="63"/>
      <c r="H16" s="63"/>
      <c r="I16" s="63"/>
      <c r="J16" s="61"/>
      <c r="K16" s="61"/>
      <c r="L16" s="61"/>
      <c r="M16" s="61"/>
      <c r="N16" s="61"/>
      <c r="O16" s="61"/>
      <c r="P16" s="61"/>
      <c r="Q16" s="61">
        <f t="shared" si="3"/>
        <v>0</v>
      </c>
      <c r="R16" s="61">
        <f>Q16/'Rooms Summary'!$Q$111</f>
        <v>0</v>
      </c>
      <c r="S16" s="35"/>
      <c r="T16" s="108" t="e">
        <f t="shared" si="2"/>
        <v>#DIV/0!</v>
      </c>
    </row>
    <row r="17" spans="1:20" s="3" customFormat="1" ht="25.4" customHeight="1">
      <c r="A17" s="3" t="s">
        <v>148</v>
      </c>
      <c r="B17" s="50" t="s">
        <v>303</v>
      </c>
      <c r="D17" s="26" t="s">
        <v>149</v>
      </c>
      <c r="E17" s="63"/>
      <c r="F17" s="63"/>
      <c r="G17" s="63"/>
      <c r="H17" s="63"/>
      <c r="I17" s="63"/>
      <c r="J17" s="61"/>
      <c r="K17" s="61"/>
      <c r="L17" s="61"/>
      <c r="M17" s="61"/>
      <c r="N17" s="61"/>
      <c r="O17" s="61"/>
      <c r="P17" s="61"/>
      <c r="Q17" s="61">
        <f t="shared" si="3"/>
        <v>0</v>
      </c>
      <c r="R17" s="61">
        <f>Q17/'Rooms Summary'!$Q$111</f>
        <v>0</v>
      </c>
      <c r="S17" s="35"/>
      <c r="T17" s="108" t="e">
        <f t="shared" si="2"/>
        <v>#DIV/0!</v>
      </c>
    </row>
    <row r="18" spans="1:20" s="3" customFormat="1" ht="25.4" customHeight="1">
      <c r="A18" s="3" t="s">
        <v>150</v>
      </c>
      <c r="B18" s="50" t="s">
        <v>303</v>
      </c>
      <c r="D18" s="26" t="s">
        <v>151</v>
      </c>
      <c r="E18" s="63">
        <f>27*'Rooms Summary'!E111</f>
        <v>48330</v>
      </c>
      <c r="F18" s="63">
        <f>27*'Rooms Summary'!F111</f>
        <v>68256</v>
      </c>
      <c r="G18" s="63">
        <f>27*'Rooms Summary'!G111</f>
        <v>52407</v>
      </c>
      <c r="H18" s="63">
        <f>27*'Rooms Summary'!H111</f>
        <v>53568</v>
      </c>
      <c r="I18" s="63">
        <f>27*'Rooms Summary'!I111</f>
        <v>60291</v>
      </c>
      <c r="J18" s="63">
        <f>27*'Rooms Summary'!J111</f>
        <v>52380</v>
      </c>
      <c r="K18" s="63">
        <f>27*'Rooms Summary'!K111</f>
        <v>81054</v>
      </c>
      <c r="L18" s="63">
        <f>27*'Rooms Summary'!L111</f>
        <v>86373</v>
      </c>
      <c r="M18" s="63">
        <f>27*'Rooms Summary'!M111</f>
        <v>49545</v>
      </c>
      <c r="N18" s="63">
        <f>27*'Rooms Summary'!N111</f>
        <v>62127</v>
      </c>
      <c r="O18" s="63">
        <f>27*'Rooms Summary'!O111</f>
        <v>59238</v>
      </c>
      <c r="P18" s="63">
        <f>27*'Rooms Summary'!P111</f>
        <v>67014</v>
      </c>
      <c r="Q18" s="61">
        <f t="shared" si="3"/>
        <v>740583</v>
      </c>
      <c r="R18" s="61">
        <f>Q18/'Rooms Summary'!$Q$111</f>
        <v>27</v>
      </c>
      <c r="S18" s="137"/>
      <c r="T18" s="40" t="e">
        <f>-IF(Q18-S18=0,0,(Q18-S18)/S18)</f>
        <v>#DIV/0!</v>
      </c>
    </row>
    <row r="19" spans="1:20" s="3" customFormat="1" ht="25.4" customHeight="1">
      <c r="A19" s="3" t="s">
        <v>152</v>
      </c>
      <c r="B19" s="50" t="s">
        <v>303</v>
      </c>
      <c r="D19" s="26" t="s">
        <v>153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1">
        <f t="shared" si="3"/>
        <v>0</v>
      </c>
      <c r="R19" s="61">
        <f>Q19/'Rooms Summary'!$Q$111</f>
        <v>0</v>
      </c>
      <c r="S19" s="35"/>
      <c r="T19" s="40"/>
    </row>
    <row r="20" spans="1:20" s="3" customFormat="1" ht="25.4" hidden="1" customHeight="1">
      <c r="A20" s="3" t="s">
        <v>154</v>
      </c>
      <c r="B20" s="50" t="s">
        <v>303</v>
      </c>
      <c r="D20" s="26" t="s">
        <v>155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1">
        <f t="shared" si="3"/>
        <v>0</v>
      </c>
      <c r="R20" s="61">
        <f>Q20/'Rooms Summary'!$Q$111</f>
        <v>0</v>
      </c>
      <c r="S20" s="35"/>
      <c r="T20" s="40">
        <f t="shared" ref="T20:T82" si="4">-IF(Q20-S20=0,0,(Q20-S20)/S20)</f>
        <v>0</v>
      </c>
    </row>
    <row r="21" spans="1:20" s="3" customFormat="1" ht="25.4" customHeight="1">
      <c r="A21" s="3" t="s">
        <v>156</v>
      </c>
      <c r="B21" s="50" t="s">
        <v>303</v>
      </c>
      <c r="D21" s="26" t="s">
        <v>157</v>
      </c>
      <c r="E21" s="63">
        <f>26*'Rooms Summary'!E111/1.06</f>
        <v>43905.660377358487</v>
      </c>
      <c r="F21" s="63">
        <f>26*'Rooms Summary'!F111/1.06</f>
        <v>62007.547169811318</v>
      </c>
      <c r="G21" s="63">
        <f>26*'Rooms Summary'!G111/1.06</f>
        <v>47609.433962264149</v>
      </c>
      <c r="H21" s="63">
        <f>26*'Rooms Summary'!H111/1.06</f>
        <v>48664.150943396227</v>
      </c>
      <c r="I21" s="63">
        <f>26*'Rooms Summary'!I111/1.06</f>
        <v>54771.698113207545</v>
      </c>
      <c r="J21" s="63">
        <f>26*'Rooms Summary'!J111/1.06</f>
        <v>47584.905660377357</v>
      </c>
      <c r="K21" s="63">
        <f>26*'Rooms Summary'!K111/1.06</f>
        <v>73633.962264150934</v>
      </c>
      <c r="L21" s="63">
        <f>26*'Rooms Summary'!L111/1.06</f>
        <v>78466.037735849051</v>
      </c>
      <c r="M21" s="63">
        <f>26*'Rooms Summary'!M111/1.06</f>
        <v>45009.433962264149</v>
      </c>
      <c r="N21" s="63">
        <f>26*'Rooms Summary'!N111/1.06</f>
        <v>56439.622641509428</v>
      </c>
      <c r="O21" s="63">
        <f>26*'Rooms Summary'!O111/1.06</f>
        <v>53815.094339622636</v>
      </c>
      <c r="P21" s="63">
        <f>26*'Rooms Summary'!P111/1.06</f>
        <v>60879.245283018863</v>
      </c>
      <c r="Q21" s="61">
        <f t="shared" si="3"/>
        <v>672786.79245283024</v>
      </c>
      <c r="R21" s="61">
        <f>Q21/'Rooms Summary'!$Q$111</f>
        <v>24.528301886792455</v>
      </c>
      <c r="S21" s="35"/>
      <c r="T21" s="40" t="e">
        <f t="shared" si="4"/>
        <v>#DIV/0!</v>
      </c>
    </row>
    <row r="22" spans="1:20" s="3" customFormat="1" ht="24.75" customHeight="1">
      <c r="A22" s="3" t="s">
        <v>158</v>
      </c>
      <c r="B22" s="50" t="s">
        <v>303</v>
      </c>
      <c r="D22" s="26" t="s">
        <v>159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1">
        <f>SUM(E22:P22)</f>
        <v>0</v>
      </c>
      <c r="R22" s="61">
        <f>Q22/'Rooms Summary'!$Q$111</f>
        <v>0</v>
      </c>
      <c r="S22" s="35"/>
      <c r="T22" s="40">
        <f t="shared" si="4"/>
        <v>0</v>
      </c>
    </row>
    <row r="23" spans="1:20" s="3" customFormat="1" ht="25.4" customHeight="1">
      <c r="A23" s="3" t="s">
        <v>160</v>
      </c>
      <c r="B23" s="50" t="s">
        <v>303</v>
      </c>
      <c r="D23" s="26" t="s">
        <v>161</v>
      </c>
      <c r="E23" s="63">
        <v>60000</v>
      </c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>
        <v>10000</v>
      </c>
      <c r="Q23" s="61">
        <f t="shared" si="3"/>
        <v>70000</v>
      </c>
      <c r="R23" s="61">
        <f>Q23/'Rooms Summary'!$Q$111</f>
        <v>2.5520434576543076</v>
      </c>
      <c r="S23" s="35"/>
      <c r="T23" s="40" t="e">
        <f t="shared" si="4"/>
        <v>#DIV/0!</v>
      </c>
    </row>
    <row r="24" spans="1:20" s="3" customFormat="1" ht="25.4" customHeight="1">
      <c r="A24" s="3" t="s">
        <v>162</v>
      </c>
      <c r="B24" s="50" t="s">
        <v>303</v>
      </c>
      <c r="D24" s="26" t="s">
        <v>163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1">
        <f t="shared" si="3"/>
        <v>0</v>
      </c>
      <c r="R24" s="61">
        <f>Q24/'Rooms Summary'!$Q$111</f>
        <v>0</v>
      </c>
      <c r="S24" s="35"/>
      <c r="T24" s="40">
        <f t="shared" si="4"/>
        <v>0</v>
      </c>
    </row>
    <row r="25" spans="1:20" s="3" customFormat="1" ht="24.75" customHeight="1">
      <c r="A25" s="3" t="s">
        <v>164</v>
      </c>
      <c r="B25" s="50" t="s">
        <v>303</v>
      </c>
      <c r="D25" s="26" t="s">
        <v>165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1">
        <f t="shared" si="3"/>
        <v>0</v>
      </c>
      <c r="R25" s="61">
        <f>Q25/'Rooms Summary'!$Q$111</f>
        <v>0</v>
      </c>
      <c r="S25" s="35"/>
      <c r="T25" s="40">
        <f t="shared" si="4"/>
        <v>0</v>
      </c>
    </row>
    <row r="26" spans="1:20" s="3" customFormat="1" ht="25.4" hidden="1" customHeight="1">
      <c r="A26" s="3" t="s">
        <v>166</v>
      </c>
      <c r="B26" s="50" t="s">
        <v>303</v>
      </c>
      <c r="D26" s="26" t="s">
        <v>167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1">
        <f t="shared" si="3"/>
        <v>0</v>
      </c>
      <c r="R26" s="61">
        <f>Q26/'Rooms Summary'!$Q$111</f>
        <v>0</v>
      </c>
      <c r="S26" s="35"/>
      <c r="T26" s="40">
        <f t="shared" si="4"/>
        <v>0</v>
      </c>
    </row>
    <row r="27" spans="1:20" s="3" customFormat="1" ht="25.4" customHeight="1">
      <c r="A27" s="3" t="s">
        <v>168</v>
      </c>
      <c r="B27" s="50" t="s">
        <v>303</v>
      </c>
      <c r="D27" s="26" t="s">
        <v>169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1">
        <f t="shared" si="3"/>
        <v>0</v>
      </c>
      <c r="R27" s="61">
        <f>Q27/'Rooms Summary'!$Q$111</f>
        <v>0</v>
      </c>
      <c r="S27" s="35"/>
      <c r="T27" s="40">
        <f t="shared" si="4"/>
        <v>0</v>
      </c>
    </row>
    <row r="28" spans="1:20" s="3" customFormat="1" ht="25.4" customHeight="1">
      <c r="A28" s="3" t="s">
        <v>170</v>
      </c>
      <c r="B28" s="50" t="s">
        <v>303</v>
      </c>
      <c r="D28" s="26" t="s">
        <v>171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1">
        <f t="shared" si="3"/>
        <v>0</v>
      </c>
      <c r="R28" s="61">
        <f>Q28/'Rooms Summary'!$Q$111</f>
        <v>0</v>
      </c>
      <c r="S28" s="35"/>
      <c r="T28" s="40">
        <f t="shared" si="4"/>
        <v>0</v>
      </c>
    </row>
    <row r="29" spans="1:20" s="3" customFormat="1" ht="25.4" customHeight="1">
      <c r="A29" s="3" t="s">
        <v>172</v>
      </c>
      <c r="B29" s="50" t="s">
        <v>303</v>
      </c>
      <c r="D29" s="26" t="s">
        <v>173</v>
      </c>
      <c r="E29" s="63">
        <f>60*'Rooms Summary'!E111*50%</f>
        <v>53700</v>
      </c>
      <c r="F29" s="63">
        <f>60*'Rooms Summary'!F111*70%</f>
        <v>106176</v>
      </c>
      <c r="G29" s="63">
        <f>60*'Rooms Summary'!G111</f>
        <v>116460</v>
      </c>
      <c r="H29" s="63">
        <f>60*'Rooms Summary'!H111</f>
        <v>119040</v>
      </c>
      <c r="I29" s="63">
        <f>60*'Rooms Summary'!I111</f>
        <v>133980</v>
      </c>
      <c r="J29" s="63">
        <f>60*'Rooms Summary'!J111</f>
        <v>116400</v>
      </c>
      <c r="K29" s="63">
        <f>60*'Rooms Summary'!K111</f>
        <v>180120</v>
      </c>
      <c r="L29" s="63">
        <f>60*'Rooms Summary'!L111</f>
        <v>191940</v>
      </c>
      <c r="M29" s="63">
        <f>60*'Rooms Summary'!M111</f>
        <v>110100</v>
      </c>
      <c r="N29" s="63">
        <f>60*'Rooms Summary'!N111</f>
        <v>138060</v>
      </c>
      <c r="O29" s="63">
        <f>60*'Rooms Summary'!O111</f>
        <v>131640</v>
      </c>
      <c r="P29" s="63">
        <f>60*'Rooms Summary'!P111</f>
        <v>148920</v>
      </c>
      <c r="Q29" s="61">
        <f t="shared" si="3"/>
        <v>1546536</v>
      </c>
      <c r="R29" s="61">
        <f>Q29/'Rooms Summary'!$Q$111</f>
        <v>56.383244011812316</v>
      </c>
      <c r="S29" s="35"/>
      <c r="T29" s="40" t="e">
        <f t="shared" si="4"/>
        <v>#DIV/0!</v>
      </c>
    </row>
    <row r="30" spans="1:20" s="3" customFormat="1" ht="25.4" customHeight="1">
      <c r="A30" s="3" t="s">
        <v>174</v>
      </c>
      <c r="B30" s="50" t="s">
        <v>303</v>
      </c>
      <c r="D30" s="26" t="s">
        <v>175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1">
        <f t="shared" si="3"/>
        <v>0</v>
      </c>
      <c r="R30" s="61">
        <f>Q30/'Rooms Summary'!$Q$111</f>
        <v>0</v>
      </c>
      <c r="S30" s="35"/>
      <c r="T30" s="40">
        <f t="shared" si="4"/>
        <v>0</v>
      </c>
    </row>
    <row r="31" spans="1:20" s="3" customFormat="1" ht="25.4" customHeight="1">
      <c r="A31" s="3" t="s">
        <v>176</v>
      </c>
      <c r="B31" s="50" t="s">
        <v>303</v>
      </c>
      <c r="D31" s="26" t="s">
        <v>177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1">
        <f t="shared" si="3"/>
        <v>0</v>
      </c>
      <c r="R31" s="61">
        <f>Q31/'Rooms Summary'!$Q$111</f>
        <v>0</v>
      </c>
      <c r="S31" s="35"/>
      <c r="T31" s="40">
        <f t="shared" si="4"/>
        <v>0</v>
      </c>
    </row>
    <row r="32" spans="1:20" s="3" customFormat="1" ht="25.4" customHeight="1">
      <c r="A32" s="3" t="s">
        <v>178</v>
      </c>
      <c r="B32" s="50" t="s">
        <v>303</v>
      </c>
      <c r="D32" s="26" t="s">
        <v>179</v>
      </c>
      <c r="E32" s="63">
        <f>17000/1.06</f>
        <v>16037.735849056602</v>
      </c>
      <c r="F32" s="63">
        <f t="shared" ref="F32:P32" si="5">17000/1.06</f>
        <v>16037.735849056602</v>
      </c>
      <c r="G32" s="63">
        <f t="shared" si="5"/>
        <v>16037.735849056602</v>
      </c>
      <c r="H32" s="63">
        <f t="shared" si="5"/>
        <v>16037.735849056602</v>
      </c>
      <c r="I32" s="63">
        <f t="shared" si="5"/>
        <v>16037.735849056602</v>
      </c>
      <c r="J32" s="63">
        <f t="shared" si="5"/>
        <v>16037.735849056602</v>
      </c>
      <c r="K32" s="63">
        <f t="shared" si="5"/>
        <v>16037.735849056602</v>
      </c>
      <c r="L32" s="63">
        <f t="shared" si="5"/>
        <v>16037.735849056602</v>
      </c>
      <c r="M32" s="63">
        <f t="shared" si="5"/>
        <v>16037.735849056602</v>
      </c>
      <c r="N32" s="63">
        <f t="shared" si="5"/>
        <v>16037.735849056602</v>
      </c>
      <c r="O32" s="63">
        <f t="shared" si="5"/>
        <v>16037.735849056602</v>
      </c>
      <c r="P32" s="63">
        <f t="shared" si="5"/>
        <v>16037.735849056602</v>
      </c>
      <c r="Q32" s="61">
        <f t="shared" si="3"/>
        <v>192452.83018867919</v>
      </c>
      <c r="R32" s="61">
        <f>Q32/'Rooms Summary'!$Q$111</f>
        <v>7.0163998027153447</v>
      </c>
      <c r="S32" s="35"/>
      <c r="T32" s="40" t="e">
        <f t="shared" si="4"/>
        <v>#DIV/0!</v>
      </c>
    </row>
    <row r="33" spans="1:20" s="3" customFormat="1" ht="25.4" customHeight="1">
      <c r="A33" s="3" t="s">
        <v>180</v>
      </c>
      <c r="B33" s="50" t="s">
        <v>303</v>
      </c>
      <c r="D33" s="26" t="s">
        <v>181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1">
        <f t="shared" si="3"/>
        <v>0</v>
      </c>
      <c r="R33" s="61">
        <f>Q33/'Rooms Summary'!$Q$111</f>
        <v>0</v>
      </c>
      <c r="S33" s="35"/>
      <c r="T33" s="40"/>
    </row>
    <row r="34" spans="1:20" s="3" customFormat="1" ht="25.4" customHeight="1">
      <c r="A34" s="3" t="s">
        <v>182</v>
      </c>
      <c r="B34" s="50" t="s">
        <v>303</v>
      </c>
      <c r="D34" s="26" t="s">
        <v>183</v>
      </c>
      <c r="E34" s="63">
        <v>8950</v>
      </c>
      <c r="F34" s="63">
        <v>11600</v>
      </c>
      <c r="G34" s="63">
        <v>10446</v>
      </c>
      <c r="H34" s="63">
        <v>10968</v>
      </c>
      <c r="I34" s="63">
        <v>11808</v>
      </c>
      <c r="J34" s="63">
        <v>11052</v>
      </c>
      <c r="K34" s="63">
        <v>14165</v>
      </c>
      <c r="L34" s="63">
        <v>15190</v>
      </c>
      <c r="M34" s="63">
        <v>9336</v>
      </c>
      <c r="N34" s="63">
        <v>11916</v>
      </c>
      <c r="O34" s="63">
        <v>10170</v>
      </c>
      <c r="P34" s="63">
        <v>11705</v>
      </c>
      <c r="Q34" s="61">
        <f t="shared" si="3"/>
        <v>137306</v>
      </c>
      <c r="R34" s="61">
        <f>Q34/'Rooms Summary'!$Q$111</f>
        <v>5.0058696999526049</v>
      </c>
      <c r="S34" s="35"/>
      <c r="T34" s="40" t="e">
        <f t="shared" si="4"/>
        <v>#DIV/0!</v>
      </c>
    </row>
    <row r="35" spans="1:20" s="3" customFormat="1" ht="25.4" customHeight="1">
      <c r="A35" s="3" t="s">
        <v>184</v>
      </c>
      <c r="B35" s="50" t="s">
        <v>303</v>
      </c>
      <c r="D35" s="26" t="s">
        <v>185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1">
        <f t="shared" si="3"/>
        <v>0</v>
      </c>
      <c r="R35" s="61">
        <f>Q35/'Rooms Summary'!$Q$111</f>
        <v>0</v>
      </c>
      <c r="S35" s="35"/>
      <c r="T35" s="40">
        <f t="shared" si="4"/>
        <v>0</v>
      </c>
    </row>
    <row r="36" spans="1:20" s="3" customFormat="1" ht="25.4" customHeight="1">
      <c r="A36" s="3" t="s">
        <v>186</v>
      </c>
      <c r="B36" s="50" t="s">
        <v>303</v>
      </c>
      <c r="D36" s="26" t="s">
        <v>187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1">
        <f t="shared" si="3"/>
        <v>0</v>
      </c>
      <c r="R36" s="61">
        <f>Q36/'Rooms Summary'!$Q$111</f>
        <v>0</v>
      </c>
      <c r="S36" s="35"/>
      <c r="T36" s="40"/>
    </row>
    <row r="37" spans="1:20" s="3" customFormat="1" ht="25.4" customHeight="1">
      <c r="A37" s="3" t="s">
        <v>188</v>
      </c>
      <c r="B37" s="50" t="s">
        <v>303</v>
      </c>
      <c r="D37" s="26" t="s">
        <v>189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1">
        <f t="shared" si="3"/>
        <v>0</v>
      </c>
      <c r="R37" s="61">
        <f>Q37/'Rooms Summary'!$Q$111</f>
        <v>0</v>
      </c>
      <c r="S37" s="35"/>
      <c r="T37" s="40">
        <f t="shared" si="4"/>
        <v>0</v>
      </c>
    </row>
    <row r="38" spans="1:20" s="3" customFormat="1" ht="25.4" customHeight="1">
      <c r="A38" s="3" t="s">
        <v>190</v>
      </c>
      <c r="B38" s="50" t="s">
        <v>303</v>
      </c>
      <c r="D38" s="26" t="s">
        <v>191</v>
      </c>
      <c r="E38" s="323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61">
        <f t="shared" si="3"/>
        <v>0</v>
      </c>
      <c r="R38" s="61">
        <f>Q38/'Rooms Summary'!$Q$111</f>
        <v>0</v>
      </c>
      <c r="S38" s="35"/>
      <c r="T38" s="40">
        <f t="shared" si="4"/>
        <v>0</v>
      </c>
    </row>
    <row r="39" spans="1:20" s="3" customFormat="1" ht="25.4" customHeight="1">
      <c r="A39" s="3" t="s">
        <v>192</v>
      </c>
      <c r="B39" s="50" t="s">
        <v>303</v>
      </c>
      <c r="D39" s="26" t="s">
        <v>193</v>
      </c>
      <c r="E39" s="63">
        <v>500</v>
      </c>
      <c r="F39" s="63">
        <v>500</v>
      </c>
      <c r="G39" s="63">
        <v>500</v>
      </c>
      <c r="H39" s="63">
        <v>500</v>
      </c>
      <c r="I39" s="63">
        <v>500</v>
      </c>
      <c r="J39" s="63">
        <v>500</v>
      </c>
      <c r="K39" s="63">
        <v>500</v>
      </c>
      <c r="L39" s="63">
        <v>500</v>
      </c>
      <c r="M39" s="63">
        <v>500</v>
      </c>
      <c r="N39" s="63">
        <v>10100</v>
      </c>
      <c r="O39" s="63">
        <v>10100</v>
      </c>
      <c r="P39" s="63">
        <v>10100</v>
      </c>
      <c r="Q39" s="61">
        <f t="shared" si="3"/>
        <v>34800</v>
      </c>
      <c r="R39" s="61">
        <f>Q39/'Rooms Summary'!$Q$111</f>
        <v>1.2687301760909986</v>
      </c>
      <c r="S39" s="35"/>
      <c r="T39" s="40" t="e">
        <f t="shared" si="4"/>
        <v>#DIV/0!</v>
      </c>
    </row>
    <row r="40" spans="1:20" s="3" customFormat="1" ht="25.4" customHeight="1">
      <c r="A40" s="3" t="s">
        <v>194</v>
      </c>
      <c r="B40" s="50" t="s">
        <v>303</v>
      </c>
      <c r="D40" s="26" t="s">
        <v>195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1">
        <f t="shared" si="3"/>
        <v>0</v>
      </c>
      <c r="R40" s="61">
        <f>Q40/'Rooms Summary'!$Q$111</f>
        <v>0</v>
      </c>
      <c r="S40" s="35"/>
      <c r="T40" s="40">
        <f t="shared" si="4"/>
        <v>0</v>
      </c>
    </row>
    <row r="41" spans="1:20" s="3" customFormat="1" ht="25.4" customHeight="1">
      <c r="A41" s="3" t="s">
        <v>196</v>
      </c>
      <c r="B41" s="50" t="s">
        <v>303</v>
      </c>
      <c r="D41" s="26" t="s">
        <v>197</v>
      </c>
      <c r="E41" s="63">
        <v>1000</v>
      </c>
      <c r="F41" s="63">
        <v>1000</v>
      </c>
      <c r="G41" s="63">
        <v>1000</v>
      </c>
      <c r="H41" s="63">
        <v>1000</v>
      </c>
      <c r="I41" s="63">
        <v>1000</v>
      </c>
      <c r="J41" s="63">
        <v>1000</v>
      </c>
      <c r="K41" s="63">
        <v>1000</v>
      </c>
      <c r="L41" s="63">
        <v>1000</v>
      </c>
      <c r="M41" s="63">
        <v>1000</v>
      </c>
      <c r="N41" s="63">
        <v>1000</v>
      </c>
      <c r="O41" s="63">
        <v>1000</v>
      </c>
      <c r="P41" s="63">
        <v>1000</v>
      </c>
      <c r="Q41" s="61">
        <f t="shared" si="3"/>
        <v>12000</v>
      </c>
      <c r="R41" s="61">
        <f>Q41/'Rooms Summary'!$Q$111</f>
        <v>0.43749316416930983</v>
      </c>
      <c r="S41" s="35"/>
      <c r="T41" s="40" t="e">
        <f t="shared" si="4"/>
        <v>#DIV/0!</v>
      </c>
    </row>
    <row r="42" spans="1:20" s="3" customFormat="1" ht="25.4" customHeight="1">
      <c r="A42" s="3" t="s">
        <v>198</v>
      </c>
      <c r="B42" s="50" t="s">
        <v>303</v>
      </c>
      <c r="D42" s="26" t="s">
        <v>199</v>
      </c>
      <c r="E42" s="61">
        <f>+E120*12</f>
        <v>288</v>
      </c>
      <c r="F42" s="61">
        <f t="shared" ref="F42:P42" si="6">+F120*12</f>
        <v>300</v>
      </c>
      <c r="G42" s="61">
        <f t="shared" si="6"/>
        <v>276</v>
      </c>
      <c r="H42" s="61">
        <f t="shared" si="6"/>
        <v>288</v>
      </c>
      <c r="I42" s="61">
        <f t="shared" si="6"/>
        <v>324</v>
      </c>
      <c r="J42" s="61">
        <f t="shared" si="6"/>
        <v>312</v>
      </c>
      <c r="K42" s="61">
        <f t="shared" si="6"/>
        <v>372</v>
      </c>
      <c r="L42" s="61">
        <f t="shared" si="6"/>
        <v>384</v>
      </c>
      <c r="M42" s="61">
        <f t="shared" si="6"/>
        <v>312</v>
      </c>
      <c r="N42" s="61">
        <f t="shared" si="6"/>
        <v>348</v>
      </c>
      <c r="O42" s="61">
        <f t="shared" si="6"/>
        <v>300</v>
      </c>
      <c r="P42" s="61">
        <f t="shared" si="6"/>
        <v>312</v>
      </c>
      <c r="Q42" s="61">
        <f t="shared" si="3"/>
        <v>3816</v>
      </c>
      <c r="R42" s="61">
        <f>Q42/'Rooms Summary'!$Q$111</f>
        <v>0.13912282620584054</v>
      </c>
      <c r="S42" s="35"/>
      <c r="T42" s="40" t="e">
        <f t="shared" si="4"/>
        <v>#DIV/0!</v>
      </c>
    </row>
    <row r="43" spans="1:20" s="3" customFormat="1" ht="25.4" customHeight="1">
      <c r="A43" s="3" t="s">
        <v>200</v>
      </c>
      <c r="B43" s="50" t="s">
        <v>303</v>
      </c>
      <c r="D43" s="26" t="s">
        <v>201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1">
        <f t="shared" si="3"/>
        <v>0</v>
      </c>
      <c r="R43" s="61">
        <f>Q43/'Rooms Summary'!$Q$111</f>
        <v>0</v>
      </c>
      <c r="S43" s="35"/>
      <c r="T43" s="40">
        <f t="shared" si="4"/>
        <v>0</v>
      </c>
    </row>
    <row r="44" spans="1:20" s="3" customFormat="1" ht="25.4" hidden="1" customHeight="1">
      <c r="A44" s="3" t="s">
        <v>202</v>
      </c>
      <c r="B44" s="50" t="s">
        <v>303</v>
      </c>
      <c r="D44" s="26" t="s">
        <v>203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1">
        <f t="shared" si="3"/>
        <v>0</v>
      </c>
      <c r="R44" s="61">
        <f>Q44/'Rooms Summary'!$Q$111</f>
        <v>0</v>
      </c>
      <c r="S44" s="35"/>
      <c r="T44" s="40">
        <f t="shared" si="4"/>
        <v>0</v>
      </c>
    </row>
    <row r="45" spans="1:20" s="3" customFormat="1" ht="25.4" hidden="1" customHeight="1">
      <c r="A45" s="3" t="s">
        <v>204</v>
      </c>
      <c r="B45" s="50" t="s">
        <v>303</v>
      </c>
      <c r="D45" s="26" t="s">
        <v>205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1">
        <f t="shared" si="3"/>
        <v>0</v>
      </c>
      <c r="R45" s="61">
        <f>Q45/'Rooms Summary'!$Q$111</f>
        <v>0</v>
      </c>
      <c r="S45" s="35"/>
      <c r="T45" s="40">
        <f t="shared" si="4"/>
        <v>0</v>
      </c>
    </row>
    <row r="46" spans="1:20" s="3" customFormat="1" ht="25.4" hidden="1" customHeight="1">
      <c r="A46" s="3" t="s">
        <v>206</v>
      </c>
      <c r="B46" s="50" t="s">
        <v>303</v>
      </c>
      <c r="D46" s="26" t="s">
        <v>207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>
        <f t="shared" si="3"/>
        <v>0</v>
      </c>
      <c r="R46" s="61">
        <f>Q46/'Rooms Summary'!$Q$111</f>
        <v>0</v>
      </c>
      <c r="S46" s="35"/>
      <c r="T46" s="40">
        <f t="shared" si="4"/>
        <v>0</v>
      </c>
    </row>
    <row r="47" spans="1:20" s="3" customFormat="1" ht="25.4" hidden="1" customHeight="1">
      <c r="A47" s="3" t="s">
        <v>208</v>
      </c>
      <c r="B47" s="50" t="s">
        <v>303</v>
      </c>
      <c r="D47" s="26" t="s">
        <v>209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>
        <f t="shared" si="3"/>
        <v>0</v>
      </c>
      <c r="R47" s="61">
        <f>Q47/'Rooms Summary'!$Q$111</f>
        <v>0</v>
      </c>
      <c r="S47" s="35"/>
      <c r="T47" s="40"/>
    </row>
    <row r="48" spans="1:20" s="3" customFormat="1" ht="25.4" hidden="1" customHeight="1">
      <c r="A48" s="3" t="s">
        <v>210</v>
      </c>
      <c r="B48" s="50" t="s">
        <v>303</v>
      </c>
      <c r="D48" s="26" t="s">
        <v>211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>
        <f t="shared" si="3"/>
        <v>0</v>
      </c>
      <c r="R48" s="61">
        <f>Q48/'Rooms Summary'!$Q$111</f>
        <v>0</v>
      </c>
      <c r="S48" s="35"/>
      <c r="T48" s="40">
        <f t="shared" si="4"/>
        <v>0</v>
      </c>
    </row>
    <row r="49" spans="1:21" s="3" customFormat="1" ht="25.4" customHeight="1">
      <c r="A49" s="3" t="s">
        <v>212</v>
      </c>
      <c r="B49" s="50" t="s">
        <v>303</v>
      </c>
      <c r="D49" s="26" t="s">
        <v>213</v>
      </c>
      <c r="E49" s="63">
        <f>40000/1.06</f>
        <v>37735.849056603773</v>
      </c>
      <c r="F49" s="63">
        <f t="shared" ref="F49:P49" si="7">40000/1.06</f>
        <v>37735.849056603773</v>
      </c>
      <c r="G49" s="63">
        <f t="shared" si="7"/>
        <v>37735.849056603773</v>
      </c>
      <c r="H49" s="63">
        <f t="shared" si="7"/>
        <v>37735.849056603773</v>
      </c>
      <c r="I49" s="63">
        <f t="shared" si="7"/>
        <v>37735.849056603773</v>
      </c>
      <c r="J49" s="63">
        <f t="shared" si="7"/>
        <v>37735.849056603773</v>
      </c>
      <c r="K49" s="63">
        <f t="shared" si="7"/>
        <v>37735.849056603773</v>
      </c>
      <c r="L49" s="63">
        <f t="shared" si="7"/>
        <v>37735.849056603773</v>
      </c>
      <c r="M49" s="63">
        <f t="shared" si="7"/>
        <v>37735.849056603773</v>
      </c>
      <c r="N49" s="63">
        <f t="shared" si="7"/>
        <v>37735.849056603773</v>
      </c>
      <c r="O49" s="63">
        <f t="shared" si="7"/>
        <v>37735.849056603773</v>
      </c>
      <c r="P49" s="63">
        <f t="shared" si="7"/>
        <v>37735.849056603773</v>
      </c>
      <c r="Q49" s="61">
        <f t="shared" si="3"/>
        <v>452830.18867924536</v>
      </c>
      <c r="R49" s="61">
        <f>Q49/'Rooms Summary'!$Q$111</f>
        <v>16.509176006389055</v>
      </c>
      <c r="S49" s="35"/>
      <c r="T49" s="40" t="e">
        <f t="shared" si="4"/>
        <v>#DIV/0!</v>
      </c>
    </row>
    <row r="50" spans="1:21" s="3" customFormat="1" ht="25.4" customHeight="1">
      <c r="A50" s="3" t="s">
        <v>214</v>
      </c>
      <c r="B50" s="50" t="s">
        <v>303</v>
      </c>
      <c r="D50" s="26" t="s">
        <v>215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>
        <f t="shared" si="3"/>
        <v>0</v>
      </c>
      <c r="R50" s="61">
        <f>Q50/'Rooms Summary'!$Q$111</f>
        <v>0</v>
      </c>
      <c r="S50" s="35"/>
      <c r="T50" s="40">
        <f t="shared" si="4"/>
        <v>0</v>
      </c>
    </row>
    <row r="51" spans="1:21" s="3" customFormat="1" ht="25.4" customHeight="1">
      <c r="A51" s="3" t="s">
        <v>216</v>
      </c>
      <c r="B51" s="50" t="s">
        <v>303</v>
      </c>
      <c r="D51" s="26" t="s">
        <v>217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1">
        <f t="shared" si="3"/>
        <v>0</v>
      </c>
      <c r="R51" s="61">
        <f>Q51/'Rooms Summary'!$Q$111</f>
        <v>0</v>
      </c>
      <c r="S51" s="35"/>
      <c r="T51" s="40">
        <f t="shared" si="4"/>
        <v>0</v>
      </c>
    </row>
    <row r="52" spans="1:21" s="3" customFormat="1" ht="25.4" customHeight="1">
      <c r="A52" s="3" t="s">
        <v>218</v>
      </c>
      <c r="B52" s="50" t="s">
        <v>303</v>
      </c>
      <c r="D52" s="26" t="s">
        <v>219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1">
        <f t="shared" si="3"/>
        <v>0</v>
      </c>
      <c r="R52" s="61">
        <f>Q52/'Rooms Summary'!$Q$111</f>
        <v>0</v>
      </c>
      <c r="S52" s="35"/>
      <c r="T52" s="40">
        <f t="shared" si="4"/>
        <v>0</v>
      </c>
    </row>
    <row r="53" spans="1:21" s="3" customFormat="1" ht="25.4" customHeight="1">
      <c r="A53" s="3" t="s">
        <v>220</v>
      </c>
      <c r="B53" s="50" t="s">
        <v>303</v>
      </c>
      <c r="D53" s="26" t="s">
        <v>221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1">
        <f t="shared" si="3"/>
        <v>0</v>
      </c>
      <c r="R53" s="61">
        <f>Q53/'Rooms Summary'!$Q$111</f>
        <v>0</v>
      </c>
      <c r="S53" s="35"/>
      <c r="T53" s="40">
        <f t="shared" si="4"/>
        <v>0</v>
      </c>
    </row>
    <row r="54" spans="1:21" s="3" customFormat="1" ht="25.4" customHeight="1">
      <c r="A54" s="3" t="s">
        <v>222</v>
      </c>
      <c r="B54" s="50" t="s">
        <v>303</v>
      </c>
      <c r="D54" s="26" t="s">
        <v>223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1">
        <f t="shared" si="3"/>
        <v>0</v>
      </c>
      <c r="R54" s="61">
        <f>Q54/'Rooms Summary'!$Q$111</f>
        <v>0</v>
      </c>
      <c r="S54" s="35"/>
      <c r="T54" s="40">
        <f t="shared" si="4"/>
        <v>0</v>
      </c>
    </row>
    <row r="55" spans="1:21" s="306" customFormat="1" ht="25.4" customHeight="1">
      <c r="A55" s="306" t="s">
        <v>224</v>
      </c>
      <c r="B55" s="322" t="s">
        <v>303</v>
      </c>
      <c r="D55" s="26" t="s">
        <v>225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1">
        <f t="shared" si="3"/>
        <v>0</v>
      </c>
      <c r="R55" s="61">
        <f>Q55/'Rooms Summary'!$Q$111</f>
        <v>0</v>
      </c>
      <c r="S55" s="35"/>
      <c r="T55" s="40">
        <f t="shared" si="4"/>
        <v>0</v>
      </c>
      <c r="U55" s="3"/>
    </row>
    <row r="56" spans="1:21" s="3" customFormat="1" ht="25.4" customHeight="1">
      <c r="A56" s="3" t="s">
        <v>226</v>
      </c>
      <c r="B56" s="50" t="s">
        <v>303</v>
      </c>
      <c r="D56" s="26" t="s">
        <v>227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1">
        <f t="shared" si="3"/>
        <v>0</v>
      </c>
      <c r="R56" s="61">
        <f>Q56/'Rooms Summary'!$Q$111</f>
        <v>0</v>
      </c>
      <c r="S56" s="35"/>
      <c r="T56" s="40">
        <f t="shared" si="4"/>
        <v>0</v>
      </c>
    </row>
    <row r="57" spans="1:21" s="3" customFormat="1" ht="25.4" customHeight="1">
      <c r="A57" s="3" t="s">
        <v>228</v>
      </c>
      <c r="B57" s="50" t="s">
        <v>303</v>
      </c>
      <c r="D57" s="26" t="s">
        <v>229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1">
        <f t="shared" si="3"/>
        <v>0</v>
      </c>
      <c r="R57" s="61">
        <f>Q57/'Rooms Summary'!$Q$111</f>
        <v>0</v>
      </c>
      <c r="S57" s="35"/>
      <c r="T57" s="40">
        <f t="shared" si="4"/>
        <v>0</v>
      </c>
    </row>
    <row r="58" spans="1:21" s="3" customFormat="1" ht="25.4" customHeight="1">
      <c r="A58" s="3" t="s">
        <v>230</v>
      </c>
      <c r="B58" s="50" t="s">
        <v>303</v>
      </c>
      <c r="D58" s="26" t="s">
        <v>231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1">
        <f t="shared" si="3"/>
        <v>0</v>
      </c>
      <c r="R58" s="61">
        <f>Q58/'Rooms Summary'!$Q$111</f>
        <v>0</v>
      </c>
      <c r="S58" s="35"/>
      <c r="T58" s="40">
        <f t="shared" si="4"/>
        <v>0</v>
      </c>
    </row>
    <row r="59" spans="1:21" s="3" customFormat="1" ht="25.4" customHeight="1">
      <c r="A59" s="3" t="s">
        <v>232</v>
      </c>
      <c r="B59" s="50" t="s">
        <v>303</v>
      </c>
      <c r="D59" s="26" t="s">
        <v>233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1">
        <f t="shared" si="3"/>
        <v>0</v>
      </c>
      <c r="R59" s="61">
        <f>Q59/'Rooms Summary'!$Q$111</f>
        <v>0</v>
      </c>
      <c r="S59" s="35"/>
      <c r="T59" s="40">
        <f t="shared" si="4"/>
        <v>0</v>
      </c>
    </row>
    <row r="60" spans="1:21" s="3" customFormat="1" ht="25.4" customHeight="1">
      <c r="A60" s="3" t="s">
        <v>234</v>
      </c>
      <c r="B60" s="50" t="s">
        <v>303</v>
      </c>
      <c r="D60" s="26" t="s">
        <v>235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>
        <f t="shared" si="3"/>
        <v>0</v>
      </c>
      <c r="R60" s="61">
        <f>Q60/'Rooms Summary'!$Q$111</f>
        <v>0</v>
      </c>
      <c r="S60" s="35"/>
      <c r="T60" s="40">
        <f t="shared" si="4"/>
        <v>0</v>
      </c>
    </row>
    <row r="61" spans="1:21" s="3" customFormat="1" ht="25.4" customHeight="1">
      <c r="A61" s="3" t="s">
        <v>236</v>
      </c>
      <c r="B61" s="50" t="s">
        <v>303</v>
      </c>
      <c r="D61" s="26" t="s">
        <v>237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>
        <f t="shared" si="3"/>
        <v>0</v>
      </c>
      <c r="R61" s="61">
        <f>Q61/'Rooms Summary'!$Q$111</f>
        <v>0</v>
      </c>
      <c r="S61" s="35"/>
      <c r="T61" s="40">
        <f t="shared" si="4"/>
        <v>0</v>
      </c>
    </row>
    <row r="62" spans="1:21" s="3" customFormat="1" ht="25.4" customHeight="1">
      <c r="A62" s="3" t="s">
        <v>238</v>
      </c>
      <c r="B62" s="50" t="s">
        <v>303</v>
      </c>
      <c r="D62" s="26" t="s">
        <v>239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>
        <f t="shared" si="3"/>
        <v>0</v>
      </c>
      <c r="R62" s="61">
        <f>Q62/'Rooms Summary'!$Q$111</f>
        <v>0</v>
      </c>
      <c r="S62" s="35"/>
      <c r="T62" s="40">
        <f t="shared" si="4"/>
        <v>0</v>
      </c>
    </row>
    <row r="63" spans="1:21" s="3" customFormat="1" ht="25.4" hidden="1" customHeight="1">
      <c r="A63" s="3" t="s">
        <v>240</v>
      </c>
      <c r="B63" s="50" t="s">
        <v>303</v>
      </c>
      <c r="D63" s="26" t="s">
        <v>241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1">
        <f t="shared" si="3"/>
        <v>0</v>
      </c>
      <c r="R63" s="61">
        <f>Q63/'Rooms Summary'!$Q$111</f>
        <v>0</v>
      </c>
      <c r="S63" s="35"/>
      <c r="T63" s="40">
        <f t="shared" si="4"/>
        <v>0</v>
      </c>
    </row>
    <row r="64" spans="1:21" s="3" customFormat="1" ht="25.4" hidden="1" customHeight="1">
      <c r="A64" s="3" t="s">
        <v>242</v>
      </c>
      <c r="B64" s="50" t="s">
        <v>303</v>
      </c>
      <c r="D64" s="26" t="s">
        <v>243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1">
        <f t="shared" si="3"/>
        <v>0</v>
      </c>
      <c r="R64" s="61">
        <f>Q64/'Rooms Summary'!$Q$111</f>
        <v>0</v>
      </c>
      <c r="S64" s="35"/>
      <c r="T64" s="40">
        <f t="shared" si="4"/>
        <v>0</v>
      </c>
    </row>
    <row r="65" spans="1:23" s="3" customFormat="1" ht="25.4" hidden="1" customHeight="1">
      <c r="A65" s="3" t="s">
        <v>244</v>
      </c>
      <c r="B65" s="50" t="s">
        <v>303</v>
      </c>
      <c r="D65" s="26" t="s">
        <v>245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1">
        <f t="shared" si="3"/>
        <v>0</v>
      </c>
      <c r="R65" s="61">
        <f>Q65/'Rooms Summary'!$Q$111</f>
        <v>0</v>
      </c>
      <c r="S65" s="35"/>
      <c r="T65" s="40">
        <f t="shared" si="4"/>
        <v>0</v>
      </c>
    </row>
    <row r="66" spans="1:23" s="3" customFormat="1" ht="25.4" hidden="1" customHeight="1">
      <c r="A66" s="3" t="s">
        <v>246</v>
      </c>
      <c r="B66" s="50" t="s">
        <v>303</v>
      </c>
      <c r="D66" s="26" t="s">
        <v>247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1">
        <f t="shared" si="3"/>
        <v>0</v>
      </c>
      <c r="R66" s="61">
        <f>Q66/'Rooms Summary'!$Q$111</f>
        <v>0</v>
      </c>
      <c r="S66" s="35"/>
      <c r="T66" s="40">
        <f t="shared" si="4"/>
        <v>0</v>
      </c>
    </row>
    <row r="67" spans="1:23" s="3" customFormat="1" ht="25.4" customHeight="1">
      <c r="A67" s="3" t="s">
        <v>248</v>
      </c>
      <c r="B67" s="50" t="s">
        <v>303</v>
      </c>
      <c r="D67" s="26" t="s">
        <v>249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1">
        <f t="shared" si="3"/>
        <v>0</v>
      </c>
      <c r="R67" s="61">
        <f>Q67/'Rooms Summary'!$Q$111</f>
        <v>0</v>
      </c>
      <c r="S67" s="35"/>
      <c r="T67" s="40"/>
    </row>
    <row r="68" spans="1:23" s="3" customFormat="1" ht="25.4" customHeight="1">
      <c r="A68" s="3" t="s">
        <v>250</v>
      </c>
      <c r="B68" s="50" t="s">
        <v>303</v>
      </c>
      <c r="D68" s="26" t="s">
        <v>251</v>
      </c>
      <c r="E68" s="63">
        <v>980</v>
      </c>
      <c r="F68" s="63">
        <v>980</v>
      </c>
      <c r="G68" s="63">
        <v>1180</v>
      </c>
      <c r="H68" s="63">
        <v>1380</v>
      </c>
      <c r="I68" s="63">
        <v>1780</v>
      </c>
      <c r="J68" s="63">
        <v>1260</v>
      </c>
      <c r="K68" s="63">
        <v>1260</v>
      </c>
      <c r="L68" s="63">
        <v>1260</v>
      </c>
      <c r="M68" s="63">
        <v>1260</v>
      </c>
      <c r="N68" s="63">
        <v>1260</v>
      </c>
      <c r="O68" s="63">
        <v>1260</v>
      </c>
      <c r="P68" s="63">
        <v>1260</v>
      </c>
      <c r="Q68" s="61">
        <f t="shared" si="3"/>
        <v>15120</v>
      </c>
      <c r="R68" s="61">
        <f>Q68/'Rooms Summary'!$Q$111</f>
        <v>0.55124138685333046</v>
      </c>
      <c r="S68" s="35"/>
      <c r="T68" s="40" t="e">
        <f t="shared" si="4"/>
        <v>#DIV/0!</v>
      </c>
      <c r="V68" s="3" t="s">
        <v>1226</v>
      </c>
      <c r="W68" s="3">
        <v>380</v>
      </c>
    </row>
    <row r="69" spans="1:23" s="3" customFormat="1" ht="25.4" customHeight="1">
      <c r="A69" s="3" t="s">
        <v>252</v>
      </c>
      <c r="B69" s="50" t="s">
        <v>303</v>
      </c>
      <c r="D69" s="26" t="s">
        <v>253</v>
      </c>
      <c r="E69" s="63">
        <v>7015.1600000000008</v>
      </c>
      <c r="F69" s="63">
        <v>6425.7799999999979</v>
      </c>
      <c r="G69" s="63">
        <v>5759.4199999999992</v>
      </c>
      <c r="H69" s="63">
        <v>6162.2400000000016</v>
      </c>
      <c r="I69" s="63">
        <v>6826.9999999999991</v>
      </c>
      <c r="J69" s="63">
        <v>6054.840000000002</v>
      </c>
      <c r="K69" s="63">
        <v>7016.2599999999993</v>
      </c>
      <c r="L69" s="63">
        <v>7268.1900000000014</v>
      </c>
      <c r="M69" s="63">
        <v>6026.57</v>
      </c>
      <c r="N69" s="63">
        <v>7271.11</v>
      </c>
      <c r="O69" s="63">
        <v>5617.75</v>
      </c>
      <c r="P69" s="63">
        <v>5782.42</v>
      </c>
      <c r="Q69" s="61">
        <f t="shared" si="3"/>
        <v>77226.740000000005</v>
      </c>
      <c r="R69" s="61">
        <f>Q69/'Rooms Summary'!$Q$111</f>
        <v>2.8155142367567176</v>
      </c>
      <c r="S69" s="35"/>
      <c r="T69" s="40" t="e">
        <f t="shared" si="4"/>
        <v>#DIV/0!</v>
      </c>
      <c r="V69" s="3" t="s">
        <v>1259</v>
      </c>
      <c r="W69" s="3">
        <v>207.9</v>
      </c>
    </row>
    <row r="70" spans="1:23" s="3" customFormat="1" ht="25.4" customHeight="1">
      <c r="A70" s="3" t="s">
        <v>254</v>
      </c>
      <c r="B70" s="50" t="s">
        <v>303</v>
      </c>
      <c r="D70" s="26" t="s">
        <v>255</v>
      </c>
      <c r="E70" s="63"/>
      <c r="F70" s="63"/>
      <c r="G70" s="63"/>
      <c r="H70" s="63"/>
      <c r="I70" s="63"/>
      <c r="J70" s="61"/>
      <c r="K70" s="61"/>
      <c r="L70" s="61"/>
      <c r="M70" s="61"/>
      <c r="N70" s="61"/>
      <c r="O70" s="61"/>
      <c r="P70" s="61"/>
      <c r="Q70" s="61">
        <f t="shared" si="3"/>
        <v>0</v>
      </c>
      <c r="R70" s="61">
        <f>Q70/'Rooms Summary'!$Q$111</f>
        <v>0</v>
      </c>
      <c r="S70" s="35"/>
      <c r="T70" s="40">
        <f t="shared" si="4"/>
        <v>0</v>
      </c>
    </row>
    <row r="71" spans="1:23" s="306" customFormat="1" ht="24.65" customHeight="1">
      <c r="A71" s="306" t="s">
        <v>256</v>
      </c>
      <c r="B71" s="322" t="s">
        <v>303</v>
      </c>
      <c r="D71" s="26" t="s">
        <v>1238</v>
      </c>
      <c r="E71" s="63">
        <v>1900</v>
      </c>
      <c r="F71" s="63">
        <v>1900</v>
      </c>
      <c r="G71" s="63">
        <v>1900</v>
      </c>
      <c r="H71" s="63">
        <v>1900</v>
      </c>
      <c r="I71" s="63">
        <v>1900</v>
      </c>
      <c r="J71" s="63">
        <v>1900</v>
      </c>
      <c r="K71" s="63">
        <v>1900</v>
      </c>
      <c r="L71" s="63">
        <v>1900</v>
      </c>
      <c r="M71" s="63">
        <v>1900</v>
      </c>
      <c r="N71" s="63">
        <v>1900</v>
      </c>
      <c r="O71" s="63">
        <v>1900</v>
      </c>
      <c r="P71" s="63">
        <v>1900</v>
      </c>
      <c r="Q71" s="61">
        <f t="shared" si="3"/>
        <v>22800</v>
      </c>
      <c r="R71" s="61">
        <f>Q71/'Rooms Summary'!$Q$111</f>
        <v>0.83123701192168875</v>
      </c>
      <c r="S71" s="307"/>
      <c r="T71" s="308" t="e">
        <f t="shared" si="4"/>
        <v>#DIV/0!</v>
      </c>
      <c r="V71" s="3" t="s">
        <v>1225</v>
      </c>
      <c r="W71" s="3">
        <v>1900</v>
      </c>
    </row>
    <row r="72" spans="1:23" s="3" customFormat="1" ht="25.4" hidden="1" customHeight="1">
      <c r="A72" s="3" t="s">
        <v>258</v>
      </c>
      <c r="B72" s="50" t="s">
        <v>303</v>
      </c>
      <c r="D72" s="26" t="s">
        <v>259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1">
        <f t="shared" si="3"/>
        <v>0</v>
      </c>
      <c r="R72" s="61">
        <f>Q72/'Rooms Summary'!$Q$111</f>
        <v>0</v>
      </c>
      <c r="S72" s="35"/>
      <c r="T72" s="40">
        <f t="shared" si="4"/>
        <v>0</v>
      </c>
    </row>
    <row r="73" spans="1:23" s="3" customFormat="1" ht="25.4" customHeight="1">
      <c r="A73" s="3" t="s">
        <v>260</v>
      </c>
      <c r="B73" s="50" t="s">
        <v>303</v>
      </c>
      <c r="D73" s="26" t="s">
        <v>261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1">
        <f t="shared" si="3"/>
        <v>0</v>
      </c>
      <c r="R73" s="61">
        <f>Q73/'Rooms Summary'!$Q$111</f>
        <v>0</v>
      </c>
      <c r="S73" s="35"/>
      <c r="T73" s="40">
        <f t="shared" si="4"/>
        <v>0</v>
      </c>
    </row>
    <row r="74" spans="1:23" s="3" customFormat="1" ht="25.4" customHeight="1">
      <c r="A74" s="3" t="s">
        <v>262</v>
      </c>
      <c r="B74" s="50" t="s">
        <v>303</v>
      </c>
      <c r="D74" s="26" t="s">
        <v>263</v>
      </c>
      <c r="E74" s="63"/>
      <c r="F74" s="63"/>
      <c r="G74" s="63">
        <v>5000</v>
      </c>
      <c r="H74" s="63"/>
      <c r="I74" s="63"/>
      <c r="J74" s="63"/>
      <c r="K74" s="63"/>
      <c r="L74" s="63"/>
      <c r="M74" s="63"/>
      <c r="N74" s="63"/>
      <c r="O74" s="63"/>
      <c r="P74" s="63"/>
      <c r="Q74" s="61">
        <f t="shared" si="3"/>
        <v>5000</v>
      </c>
      <c r="R74" s="61">
        <f>Q74/'Rooms Summary'!$Q$111</f>
        <v>0.18228881840387912</v>
      </c>
      <c r="S74" s="35"/>
      <c r="T74" s="40" t="e">
        <f t="shared" si="4"/>
        <v>#DIV/0!</v>
      </c>
    </row>
    <row r="75" spans="1:23" s="3" customFormat="1" ht="25.4" customHeight="1">
      <c r="A75" s="3" t="s">
        <v>264</v>
      </c>
      <c r="B75" s="50" t="s">
        <v>303</v>
      </c>
      <c r="D75" s="26" t="s">
        <v>265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1">
        <f t="shared" si="3"/>
        <v>0</v>
      </c>
      <c r="R75" s="61">
        <f>Q75/'Rooms Summary'!$Q$111</f>
        <v>0</v>
      </c>
      <c r="S75" s="35"/>
      <c r="T75" s="40">
        <f t="shared" si="4"/>
        <v>0</v>
      </c>
    </row>
    <row r="76" spans="1:23" s="3" customFormat="1" ht="25.4" customHeight="1">
      <c r="A76" s="3" t="s">
        <v>266</v>
      </c>
      <c r="B76" s="50" t="s">
        <v>303</v>
      </c>
      <c r="D76" s="26" t="s">
        <v>267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1">
        <f t="shared" si="3"/>
        <v>0</v>
      </c>
      <c r="R76" s="61">
        <f>Q76/'Rooms Summary'!$Q$111</f>
        <v>0</v>
      </c>
      <c r="S76" s="35"/>
      <c r="T76" s="40">
        <f t="shared" si="4"/>
        <v>0</v>
      </c>
    </row>
    <row r="77" spans="1:23" s="3" customFormat="1" ht="25.4" customHeight="1">
      <c r="A77" s="3" t="s">
        <v>268</v>
      </c>
      <c r="B77" s="50" t="s">
        <v>303</v>
      </c>
      <c r="D77" s="26" t="s">
        <v>269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>
        <v>3000</v>
      </c>
      <c r="P77" s="63">
        <v>3000</v>
      </c>
      <c r="Q77" s="61">
        <f>SUM(E77:P77)</f>
        <v>6000</v>
      </c>
      <c r="R77" s="61">
        <f>Q77/'Rooms Summary'!$Q$111</f>
        <v>0.21874658208465492</v>
      </c>
      <c r="S77" s="35"/>
      <c r="T77" s="40" t="e">
        <f t="shared" si="4"/>
        <v>#DIV/0!</v>
      </c>
    </row>
    <row r="78" spans="1:23" s="3" customFormat="1" ht="25.4" customHeight="1">
      <c r="A78" s="3" t="s">
        <v>270</v>
      </c>
      <c r="B78" s="50" t="s">
        <v>303</v>
      </c>
      <c r="D78" s="26" t="s">
        <v>271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1">
        <f t="shared" si="3"/>
        <v>0</v>
      </c>
      <c r="R78" s="61">
        <f>Q78/'Rooms Summary'!$Q$111</f>
        <v>0</v>
      </c>
      <c r="S78" s="35"/>
      <c r="T78" s="40">
        <f t="shared" si="4"/>
        <v>0</v>
      </c>
    </row>
    <row r="79" spans="1:23" s="3" customFormat="1" ht="25.4" customHeight="1">
      <c r="A79" s="3" t="s">
        <v>272</v>
      </c>
      <c r="B79" s="50" t="s">
        <v>303</v>
      </c>
      <c r="D79" s="26" t="s">
        <v>273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1">
        <f t="shared" si="3"/>
        <v>0</v>
      </c>
      <c r="R79" s="61">
        <f>Q79/'Rooms Summary'!$Q$111</f>
        <v>0</v>
      </c>
      <c r="S79" s="35"/>
      <c r="T79" s="40">
        <f t="shared" si="4"/>
        <v>0</v>
      </c>
    </row>
    <row r="80" spans="1:23" s="3" customFormat="1" ht="25.4" customHeight="1">
      <c r="A80" s="3" t="s">
        <v>274</v>
      </c>
      <c r="B80" s="50" t="s">
        <v>303</v>
      </c>
      <c r="D80" s="26" t="s">
        <v>275</v>
      </c>
      <c r="E80" s="63">
        <v>500</v>
      </c>
      <c r="F80" s="63">
        <v>500</v>
      </c>
      <c r="G80" s="63">
        <v>500</v>
      </c>
      <c r="H80" s="63">
        <v>500</v>
      </c>
      <c r="I80" s="63">
        <v>500</v>
      </c>
      <c r="J80" s="63">
        <v>500</v>
      </c>
      <c r="K80" s="63">
        <v>500</v>
      </c>
      <c r="L80" s="63">
        <v>500</v>
      </c>
      <c r="M80" s="63">
        <v>500</v>
      </c>
      <c r="N80" s="63">
        <v>500</v>
      </c>
      <c r="O80" s="63">
        <v>500</v>
      </c>
      <c r="P80" s="63">
        <v>500</v>
      </c>
      <c r="Q80" s="61">
        <f t="shared" si="3"/>
        <v>6000</v>
      </c>
      <c r="R80" s="61">
        <f>Q80/'Rooms Summary'!$Q$111</f>
        <v>0.21874658208465492</v>
      </c>
      <c r="S80" s="35"/>
      <c r="T80" s="40" t="e">
        <f t="shared" si="4"/>
        <v>#DIV/0!</v>
      </c>
    </row>
    <row r="81" spans="1:22" s="3" customFormat="1" ht="25.4" customHeight="1">
      <c r="D81" s="19" t="s">
        <v>276</v>
      </c>
      <c r="E81" s="151">
        <f>SUM(E14:E80)</f>
        <v>280842.40528301883</v>
      </c>
      <c r="F81" s="151">
        <f t="shared" ref="F81:Q81" si="8">SUM(F14:F80)</f>
        <v>313418.91207547172</v>
      </c>
      <c r="G81" s="151">
        <f t="shared" si="8"/>
        <v>296811.4388679245</v>
      </c>
      <c r="H81" s="151">
        <f t="shared" si="8"/>
        <v>297743.97584905662</v>
      </c>
      <c r="I81" s="151">
        <f t="shared" si="8"/>
        <v>327455.28301886795</v>
      </c>
      <c r="J81" s="151">
        <f t="shared" si="8"/>
        <v>292717.33056603774</v>
      </c>
      <c r="K81" s="151">
        <f t="shared" si="8"/>
        <v>415294.80716981139</v>
      </c>
      <c r="L81" s="151">
        <f t="shared" si="8"/>
        <v>438554.81264150946</v>
      </c>
      <c r="M81" s="151">
        <f t="shared" si="8"/>
        <v>279262.58886792453</v>
      </c>
      <c r="N81" s="151">
        <f t="shared" si="8"/>
        <v>344695.31754716981</v>
      </c>
      <c r="O81" s="151">
        <f t="shared" si="8"/>
        <v>332314.42924528307</v>
      </c>
      <c r="P81" s="151">
        <f t="shared" si="8"/>
        <v>376146.25018867926</v>
      </c>
      <c r="Q81" s="151">
        <f t="shared" si="8"/>
        <v>3995257.5513207549</v>
      </c>
      <c r="R81" s="61">
        <f>Q81/'Rooms Summary'!$Q$111</f>
        <v>145.65815564988716</v>
      </c>
      <c r="S81" s="35"/>
      <c r="T81" s="40" t="e">
        <f t="shared" si="4"/>
        <v>#DIV/0!</v>
      </c>
    </row>
    <row r="82" spans="1:22" s="3" customFormat="1" ht="25.4" customHeight="1">
      <c r="D82" s="19" t="s">
        <v>357</v>
      </c>
      <c r="E82" s="151">
        <f>E81+E11</f>
        <v>630516.37528301892</v>
      </c>
      <c r="F82" s="151">
        <f t="shared" ref="F82:Q82" si="9">F81+F11</f>
        <v>683535.55207547173</v>
      </c>
      <c r="G82" s="151">
        <f t="shared" si="9"/>
        <v>637165.71886792453</v>
      </c>
      <c r="H82" s="151">
        <f t="shared" si="9"/>
        <v>647401.09584905661</v>
      </c>
      <c r="I82" s="151">
        <f t="shared" si="9"/>
        <v>689298.32301886787</v>
      </c>
      <c r="J82" s="151">
        <f t="shared" si="9"/>
        <v>637133.79056603764</v>
      </c>
      <c r="K82" s="151">
        <f t="shared" si="9"/>
        <v>803129.82716981135</v>
      </c>
      <c r="L82" s="151">
        <f t="shared" si="9"/>
        <v>831365.26264150941</v>
      </c>
      <c r="M82" s="151">
        <f t="shared" si="9"/>
        <v>618930.4388679245</v>
      </c>
      <c r="N82" s="151">
        <f t="shared" si="9"/>
        <v>724350.43754716974</v>
      </c>
      <c r="O82" s="151">
        <f t="shared" si="9"/>
        <v>685875.33924528304</v>
      </c>
      <c r="P82" s="151">
        <f t="shared" si="9"/>
        <v>740258.42018867924</v>
      </c>
      <c r="Q82" s="151">
        <f t="shared" si="9"/>
        <v>8328960.5813207561</v>
      </c>
      <c r="R82" s="61">
        <f>Q82/'Rooms Summary'!$Q$111</f>
        <v>303.65527658028935</v>
      </c>
      <c r="S82" s="35"/>
      <c r="T82" s="40" t="e">
        <f t="shared" si="4"/>
        <v>#DIV/0!</v>
      </c>
    </row>
    <row r="83" spans="1:22" s="3" customFormat="1" ht="25.4" customHeight="1">
      <c r="L83" s="152"/>
      <c r="S83" s="35"/>
      <c r="T83" s="108"/>
    </row>
    <row r="84" spans="1:22" s="3" customFormat="1" ht="24.75" customHeight="1">
      <c r="D84" s="19" t="s">
        <v>295</v>
      </c>
      <c r="L84" s="152"/>
      <c r="S84" s="35"/>
      <c r="T84" s="108"/>
    </row>
    <row r="85" spans="1:22" s="3" customFormat="1" ht="25.4" customHeight="1">
      <c r="D85" s="19" t="s">
        <v>296</v>
      </c>
      <c r="L85" s="152"/>
      <c r="S85" s="35"/>
      <c r="T85" s="108"/>
    </row>
    <row r="86" spans="1:22" s="3" customFormat="1" ht="25.4" customHeight="1">
      <c r="A86" s="3" t="s">
        <v>297</v>
      </c>
      <c r="B86" s="69" t="s">
        <v>303</v>
      </c>
      <c r="D86" s="3" t="s">
        <v>299</v>
      </c>
      <c r="E86" s="61">
        <v>33800</v>
      </c>
      <c r="F86" s="61">
        <v>33800</v>
      </c>
      <c r="G86" s="61">
        <v>33800</v>
      </c>
      <c r="H86" s="61">
        <v>33800</v>
      </c>
      <c r="I86" s="61">
        <v>33800</v>
      </c>
      <c r="J86" s="61">
        <v>33800</v>
      </c>
      <c r="K86" s="61">
        <v>33800</v>
      </c>
      <c r="L86" s="61">
        <v>33800</v>
      </c>
      <c r="M86" s="61">
        <v>33800</v>
      </c>
      <c r="N86" s="61">
        <v>33800</v>
      </c>
      <c r="O86" s="61">
        <v>33800</v>
      </c>
      <c r="P86" s="61">
        <v>33800</v>
      </c>
      <c r="Q86" s="61">
        <f>SUM(E86:P86)</f>
        <v>405600</v>
      </c>
      <c r="R86" s="61">
        <f>Q86/'Rooms Summary'!$Q$111</f>
        <v>14.787268948922673</v>
      </c>
      <c r="S86" s="35"/>
      <c r="T86" s="40" t="e">
        <f>-IF(Q86-S86=0,0,(Q86-S86)/S86)</f>
        <v>#DIV/0!</v>
      </c>
    </row>
    <row r="87" spans="1:22" s="3" customFormat="1" ht="25.4" customHeight="1">
      <c r="A87" s="50" t="s">
        <v>300</v>
      </c>
      <c r="B87" s="69" t="s">
        <v>303</v>
      </c>
      <c r="D87" s="3" t="s">
        <v>359</v>
      </c>
      <c r="E87" s="61">
        <v>59000</v>
      </c>
      <c r="F87" s="61">
        <v>59000</v>
      </c>
      <c r="G87" s="61">
        <v>59000</v>
      </c>
      <c r="H87" s="61">
        <v>59000</v>
      </c>
      <c r="I87" s="61">
        <v>59000</v>
      </c>
      <c r="J87" s="61">
        <v>59000</v>
      </c>
      <c r="K87" s="61">
        <v>62800</v>
      </c>
      <c r="L87" s="61">
        <v>62800</v>
      </c>
      <c r="M87" s="61">
        <v>62800</v>
      </c>
      <c r="N87" s="61">
        <v>62800</v>
      </c>
      <c r="O87" s="61">
        <v>62800</v>
      </c>
      <c r="P87" s="61">
        <v>62800</v>
      </c>
      <c r="Q87" s="61">
        <f>SUM(E87:P87)</f>
        <v>730800</v>
      </c>
      <c r="R87" s="61">
        <f>Q87/'Rooms Summary'!$Q$111</f>
        <v>26.643333697910972</v>
      </c>
      <c r="S87" s="35"/>
      <c r="T87" s="40" t="e">
        <f t="shared" ref="T87:T107" si="10">-IF(Q87-S87=0,0,(Q87-S87)/S87)</f>
        <v>#DIV/0!</v>
      </c>
    </row>
    <row r="88" spans="1:22" s="3" customFormat="1" ht="25.4" customHeight="1">
      <c r="D88" s="19" t="s">
        <v>307</v>
      </c>
      <c r="E88" s="151">
        <f t="shared" ref="E88:P88" si="11">SUM(E86:E87)</f>
        <v>92800</v>
      </c>
      <c r="F88" s="151">
        <f t="shared" si="11"/>
        <v>92800</v>
      </c>
      <c r="G88" s="151">
        <f t="shared" si="11"/>
        <v>92800</v>
      </c>
      <c r="H88" s="151">
        <f t="shared" si="11"/>
        <v>92800</v>
      </c>
      <c r="I88" s="151">
        <f t="shared" si="11"/>
        <v>92800</v>
      </c>
      <c r="J88" s="151">
        <f t="shared" si="11"/>
        <v>92800</v>
      </c>
      <c r="K88" s="151">
        <f t="shared" si="11"/>
        <v>96600</v>
      </c>
      <c r="L88" s="151">
        <f t="shared" si="11"/>
        <v>96600</v>
      </c>
      <c r="M88" s="151">
        <f t="shared" si="11"/>
        <v>96600</v>
      </c>
      <c r="N88" s="151">
        <f t="shared" si="11"/>
        <v>96600</v>
      </c>
      <c r="O88" s="151">
        <f t="shared" si="11"/>
        <v>96600</v>
      </c>
      <c r="P88" s="151">
        <f t="shared" si="11"/>
        <v>96600</v>
      </c>
      <c r="Q88" s="151">
        <f t="shared" ref="Q88" si="12">SUM(Q86:Q87)</f>
        <v>1136400</v>
      </c>
      <c r="R88" s="61">
        <f>Q88/'Rooms Summary'!$Q$111</f>
        <v>41.430602646833641</v>
      </c>
      <c r="S88" s="35"/>
      <c r="T88" s="40" t="e">
        <f t="shared" si="10"/>
        <v>#DIV/0!</v>
      </c>
    </row>
    <row r="89" spans="1:22" s="3" customFormat="1" ht="25.4" customHeight="1">
      <c r="S89" s="35"/>
      <c r="T89" s="108"/>
    </row>
    <row r="90" spans="1:22" s="3" customFormat="1" ht="25.4" customHeight="1">
      <c r="A90" s="3" t="s">
        <v>308</v>
      </c>
      <c r="B90" s="50" t="s">
        <v>303</v>
      </c>
      <c r="D90" s="26" t="s">
        <v>309</v>
      </c>
      <c r="E90" s="3">
        <v>16275.900000000001</v>
      </c>
      <c r="F90" s="3">
        <v>0</v>
      </c>
      <c r="G90" s="3">
        <v>0</v>
      </c>
      <c r="H90" s="3">
        <v>4882.76</v>
      </c>
      <c r="I90" s="3">
        <v>8137.9400000000005</v>
      </c>
      <c r="J90" s="3">
        <v>0</v>
      </c>
      <c r="K90" s="3">
        <v>0</v>
      </c>
      <c r="L90" s="3">
        <v>0</v>
      </c>
      <c r="M90" s="3">
        <v>0</v>
      </c>
      <c r="N90" s="3">
        <v>17324.179999999997</v>
      </c>
      <c r="O90" s="3">
        <v>0</v>
      </c>
      <c r="P90" s="3">
        <v>0</v>
      </c>
      <c r="Q90" s="61">
        <f t="shared" ref="Q90:Q96" si="13">SUM(E90:P90)</f>
        <v>46620.78</v>
      </c>
      <c r="R90" s="61">
        <f>Q90/'Rooms Summary'!$Q$111</f>
        <v>1.6996893798534398</v>
      </c>
      <c r="S90" s="35"/>
      <c r="T90" s="40" t="e">
        <f t="shared" si="10"/>
        <v>#DIV/0!</v>
      </c>
    </row>
    <row r="91" spans="1:22" s="3" customFormat="1" ht="25.4" customHeight="1">
      <c r="A91" s="3" t="s">
        <v>310</v>
      </c>
      <c r="B91" s="50" t="s">
        <v>303</v>
      </c>
      <c r="D91" s="26" t="s">
        <v>311</v>
      </c>
      <c r="E91" s="3">
        <v>1160</v>
      </c>
      <c r="F91" s="3">
        <v>1160</v>
      </c>
      <c r="G91" s="3">
        <v>1160</v>
      </c>
      <c r="H91" s="3">
        <v>1160</v>
      </c>
      <c r="I91" s="3">
        <v>1160</v>
      </c>
      <c r="J91" s="3">
        <v>1160</v>
      </c>
      <c r="K91" s="3">
        <v>1207.5</v>
      </c>
      <c r="L91" s="3">
        <v>1207.5</v>
      </c>
      <c r="M91" s="3">
        <v>1207.5</v>
      </c>
      <c r="N91" s="3">
        <v>1207.5</v>
      </c>
      <c r="O91" s="3">
        <v>1207.5</v>
      </c>
      <c r="P91" s="3">
        <v>1207.5</v>
      </c>
      <c r="Q91" s="61">
        <f t="shared" si="13"/>
        <v>14205</v>
      </c>
      <c r="R91" s="61">
        <f>Q91/'Rooms Summary'!$Q$111</f>
        <v>0.51788253308542054</v>
      </c>
      <c r="S91" s="35"/>
      <c r="T91" s="40" t="e">
        <f t="shared" si="10"/>
        <v>#DIV/0!</v>
      </c>
    </row>
    <row r="92" spans="1:22" s="3" customFormat="1" ht="25.4" customHeight="1">
      <c r="A92" s="3" t="s">
        <v>312</v>
      </c>
      <c r="B92" s="50" t="s">
        <v>303</v>
      </c>
      <c r="D92" s="26" t="s">
        <v>313</v>
      </c>
      <c r="E92" s="3">
        <v>900</v>
      </c>
      <c r="F92" s="3">
        <v>900</v>
      </c>
      <c r="G92" s="3">
        <v>900</v>
      </c>
      <c r="H92" s="3">
        <v>900</v>
      </c>
      <c r="I92" s="3">
        <v>900</v>
      </c>
      <c r="J92" s="3">
        <v>900</v>
      </c>
      <c r="K92" s="3">
        <v>900</v>
      </c>
      <c r="L92" s="3">
        <v>900</v>
      </c>
      <c r="M92" s="3">
        <v>900</v>
      </c>
      <c r="N92" s="3">
        <v>900</v>
      </c>
      <c r="O92" s="3">
        <v>900</v>
      </c>
      <c r="P92" s="3">
        <v>900</v>
      </c>
      <c r="Q92" s="61">
        <f t="shared" si="13"/>
        <v>10800</v>
      </c>
      <c r="R92" s="61">
        <f>Q92/'Rooms Summary'!$Q$111</f>
        <v>0.39374384775237886</v>
      </c>
      <c r="S92" s="35"/>
      <c r="T92" s="40"/>
    </row>
    <row r="93" spans="1:22" s="3" customFormat="1" ht="25.4" customHeight="1">
      <c r="A93" s="3" t="s">
        <v>314</v>
      </c>
      <c r="B93" s="50" t="s">
        <v>303</v>
      </c>
      <c r="D93" s="26" t="s">
        <v>315</v>
      </c>
      <c r="Q93" s="61">
        <f t="shared" si="13"/>
        <v>0</v>
      </c>
      <c r="R93" s="61">
        <f>Q93/'Rooms Summary'!$Q$111</f>
        <v>0</v>
      </c>
      <c r="S93" s="35"/>
      <c r="T93" s="108">
        <f t="shared" si="10"/>
        <v>0</v>
      </c>
    </row>
    <row r="94" spans="1:22" s="3" customFormat="1" ht="25.4" customHeight="1">
      <c r="A94" s="3" t="s">
        <v>316</v>
      </c>
      <c r="B94" s="50" t="s">
        <v>303</v>
      </c>
      <c r="D94" s="26" t="s">
        <v>317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61">
        <f t="shared" si="13"/>
        <v>0</v>
      </c>
      <c r="R94" s="61">
        <f>Q94/'Rooms Summary'!$Q$111</f>
        <v>0</v>
      </c>
      <c r="S94" s="35"/>
      <c r="T94" s="40">
        <f t="shared" si="10"/>
        <v>0</v>
      </c>
    </row>
    <row r="95" spans="1:22" s="3" customFormat="1" ht="25.4" customHeight="1">
      <c r="A95" s="3" t="s">
        <v>1066</v>
      </c>
      <c r="B95" s="50" t="s">
        <v>303</v>
      </c>
      <c r="D95" s="26" t="s">
        <v>1131</v>
      </c>
      <c r="Q95" s="61">
        <f t="shared" si="13"/>
        <v>0</v>
      </c>
      <c r="R95" s="61">
        <f>Q95/'Rooms Summary'!$Q$111</f>
        <v>0</v>
      </c>
      <c r="S95" s="35"/>
      <c r="T95" s="40">
        <f t="shared" ref="T95" si="14">-IF(Q95-S95=0,0,(Q95-S95)/S95)</f>
        <v>0</v>
      </c>
      <c r="V95" s="343" t="s">
        <v>1260</v>
      </c>
    </row>
    <row r="96" spans="1:22" s="3" customFormat="1" ht="25.4" customHeight="1">
      <c r="A96" s="3" t="s">
        <v>1066</v>
      </c>
      <c r="B96" s="50" t="s">
        <v>303</v>
      </c>
      <c r="D96" s="26" t="s">
        <v>1206</v>
      </c>
      <c r="E96" s="3">
        <v>187042.25</v>
      </c>
      <c r="F96" s="3">
        <v>223742.22</v>
      </c>
      <c r="G96" s="3">
        <v>194503.66</v>
      </c>
      <c r="H96" s="3">
        <v>198875.14</v>
      </c>
      <c r="I96" s="3">
        <v>208258.28</v>
      </c>
      <c r="J96" s="3">
        <v>199309.99</v>
      </c>
      <c r="K96" s="3">
        <v>236377.26</v>
      </c>
      <c r="L96" s="3">
        <v>241324.05</v>
      </c>
      <c r="M96" s="3">
        <v>188156.33</v>
      </c>
      <c r="N96" s="3">
        <v>210740.54</v>
      </c>
      <c r="O96" s="3">
        <v>202183.47</v>
      </c>
      <c r="P96" s="3">
        <v>212804.01</v>
      </c>
      <c r="Q96" s="61">
        <f t="shared" si="13"/>
        <v>2503317.2000000002</v>
      </c>
      <c r="R96" s="61">
        <f>Q96/'Rooms Summary'!$Q$111</f>
        <v>91.265346895621434</v>
      </c>
      <c r="S96" s="35"/>
      <c r="T96" s="40" t="e">
        <f t="shared" si="10"/>
        <v>#DIV/0!</v>
      </c>
      <c r="V96" s="343" t="s">
        <v>1261</v>
      </c>
    </row>
    <row r="97" spans="1:20" s="3" customFormat="1" ht="25.4" customHeight="1">
      <c r="D97" s="19" t="s">
        <v>318</v>
      </c>
      <c r="E97" s="151">
        <f>SUM(E90:E96)</f>
        <v>205378.15</v>
      </c>
      <c r="F97" s="151">
        <f t="shared" ref="F97:P97" si="15">SUM(F90:F96)</f>
        <v>225802.22</v>
      </c>
      <c r="G97" s="151">
        <f t="shared" si="15"/>
        <v>196563.66</v>
      </c>
      <c r="H97" s="151">
        <f t="shared" si="15"/>
        <v>205817.90000000002</v>
      </c>
      <c r="I97" s="151">
        <f t="shared" si="15"/>
        <v>218456.22</v>
      </c>
      <c r="J97" s="151">
        <f t="shared" si="15"/>
        <v>201369.99</v>
      </c>
      <c r="K97" s="151">
        <f t="shared" si="15"/>
        <v>238484.76</v>
      </c>
      <c r="L97" s="151">
        <f t="shared" si="15"/>
        <v>243431.55</v>
      </c>
      <c r="M97" s="151">
        <f t="shared" si="15"/>
        <v>190263.83</v>
      </c>
      <c r="N97" s="151">
        <f t="shared" si="15"/>
        <v>230172.22</v>
      </c>
      <c r="O97" s="151">
        <f t="shared" si="15"/>
        <v>204290.97</v>
      </c>
      <c r="P97" s="151">
        <f t="shared" si="15"/>
        <v>214911.51</v>
      </c>
      <c r="Q97" s="151">
        <f t="shared" ref="Q97" si="16">SUM(Q90:Q96)</f>
        <v>2574942.98</v>
      </c>
      <c r="R97" s="61">
        <f>Q97/'Rooms Summary'!$Q$111</f>
        <v>93.876662656312661</v>
      </c>
      <c r="S97" s="35"/>
      <c r="T97" s="40" t="e">
        <f t="shared" si="10"/>
        <v>#DIV/0!</v>
      </c>
    </row>
    <row r="98" spans="1:20" s="3" customFormat="1" ht="25.4" customHeight="1">
      <c r="L98" s="152"/>
      <c r="S98" s="35"/>
      <c r="T98" s="108"/>
    </row>
    <row r="99" spans="1:20" s="3" customFormat="1" ht="25.4" customHeight="1">
      <c r="A99" s="3" t="s">
        <v>319</v>
      </c>
      <c r="B99" s="50" t="s">
        <v>303</v>
      </c>
      <c r="D99" s="26" t="s">
        <v>320</v>
      </c>
      <c r="E99" s="3">
        <v>13917.599999999999</v>
      </c>
      <c r="F99" s="3">
        <v>13917.6</v>
      </c>
      <c r="G99" s="3">
        <v>13917.6</v>
      </c>
      <c r="H99" s="3">
        <v>13917.6</v>
      </c>
      <c r="I99" s="3">
        <v>13917.6</v>
      </c>
      <c r="J99" s="3">
        <v>13917.6</v>
      </c>
      <c r="K99" s="3">
        <v>14599.499999999998</v>
      </c>
      <c r="L99" s="3">
        <v>14599.499999999998</v>
      </c>
      <c r="M99" s="3">
        <v>14599.499999999998</v>
      </c>
      <c r="N99" s="3">
        <v>14599.499999999998</v>
      </c>
      <c r="O99" s="3">
        <v>14599.499999999998</v>
      </c>
      <c r="P99" s="3">
        <v>14599.499999999998</v>
      </c>
      <c r="Q99" s="61">
        <f t="shared" ref="Q99:Q106" si="17">SUM(E99:P99)</f>
        <v>171102.6</v>
      </c>
      <c r="R99" s="61">
        <f>Q99/'Rooms Summary'!$Q$111</f>
        <v>6.238018155966313</v>
      </c>
      <c r="S99" s="35"/>
      <c r="T99" s="40" t="e">
        <f t="shared" si="10"/>
        <v>#DIV/0!</v>
      </c>
    </row>
    <row r="100" spans="1:20" s="3" customFormat="1" ht="25.4" customHeight="1">
      <c r="A100" s="3" t="s">
        <v>321</v>
      </c>
      <c r="B100" s="50" t="s">
        <v>303</v>
      </c>
      <c r="D100" s="26" t="s">
        <v>322</v>
      </c>
      <c r="E100" s="3">
        <v>5425.92</v>
      </c>
      <c r="F100" s="3">
        <v>5425.92</v>
      </c>
      <c r="G100" s="3">
        <v>5425.92</v>
      </c>
      <c r="H100" s="3">
        <v>5425.92</v>
      </c>
      <c r="I100" s="3">
        <v>5425.92</v>
      </c>
      <c r="J100" s="3">
        <v>5425.92</v>
      </c>
      <c r="K100" s="3">
        <v>5663.4</v>
      </c>
      <c r="L100" s="3">
        <v>5663.4</v>
      </c>
      <c r="M100" s="3">
        <v>5663.4</v>
      </c>
      <c r="N100" s="3">
        <v>5663.4</v>
      </c>
      <c r="O100" s="3">
        <v>5663.4</v>
      </c>
      <c r="P100" s="3">
        <v>5663.4</v>
      </c>
      <c r="Q100" s="61">
        <f t="shared" si="17"/>
        <v>66535.92</v>
      </c>
      <c r="R100" s="61">
        <f>Q100/'Rooms Summary'!$Q$111</f>
        <v>2.4257508476430054</v>
      </c>
      <c r="S100" s="35"/>
      <c r="T100" s="40" t="e">
        <f t="shared" si="10"/>
        <v>#DIV/0!</v>
      </c>
    </row>
    <row r="101" spans="1:20" s="3" customFormat="1" ht="25.4" customHeight="1">
      <c r="A101" s="3" t="s">
        <v>323</v>
      </c>
      <c r="B101" s="50" t="s">
        <v>303</v>
      </c>
      <c r="D101" s="26" t="s">
        <v>324</v>
      </c>
      <c r="E101" s="3">
        <v>718.4</v>
      </c>
      <c r="F101" s="3">
        <v>718.4</v>
      </c>
      <c r="G101" s="3">
        <v>718.4</v>
      </c>
      <c r="H101" s="3">
        <v>718.4</v>
      </c>
      <c r="I101" s="3">
        <v>718.4</v>
      </c>
      <c r="J101" s="3">
        <v>718.4</v>
      </c>
      <c r="K101" s="3">
        <v>748.8</v>
      </c>
      <c r="L101" s="3">
        <v>748.8</v>
      </c>
      <c r="M101" s="3">
        <v>748.8</v>
      </c>
      <c r="N101" s="3">
        <v>748.8</v>
      </c>
      <c r="O101" s="3">
        <v>748.8</v>
      </c>
      <c r="P101" s="3">
        <v>748.8</v>
      </c>
      <c r="Q101" s="61">
        <f t="shared" si="17"/>
        <v>8803.2000000000007</v>
      </c>
      <c r="R101" s="61">
        <f>Q101/'Rooms Summary'!$Q$111</f>
        <v>0.32094498523460574</v>
      </c>
      <c r="S101" s="35"/>
      <c r="T101" s="40" t="e">
        <f t="shared" si="10"/>
        <v>#DIV/0!</v>
      </c>
    </row>
    <row r="102" spans="1:20" s="3" customFormat="1" ht="25.4" customHeight="1">
      <c r="A102" s="3" t="s">
        <v>325</v>
      </c>
      <c r="B102" s="50" t="s">
        <v>303</v>
      </c>
      <c r="D102" s="26" t="s">
        <v>326</v>
      </c>
      <c r="E102" s="3">
        <v>359.2</v>
      </c>
      <c r="F102" s="3">
        <v>359.2</v>
      </c>
      <c r="G102" s="3">
        <v>359.2</v>
      </c>
      <c r="H102" s="3">
        <v>359.2</v>
      </c>
      <c r="I102" s="3">
        <v>359.2</v>
      </c>
      <c r="J102" s="3">
        <v>359.2</v>
      </c>
      <c r="K102" s="3">
        <v>374.4</v>
      </c>
      <c r="L102" s="3">
        <v>374.4</v>
      </c>
      <c r="M102" s="3">
        <v>374.4</v>
      </c>
      <c r="N102" s="3">
        <v>374.4</v>
      </c>
      <c r="O102" s="3">
        <v>374.4</v>
      </c>
      <c r="P102" s="3">
        <v>374.4</v>
      </c>
      <c r="Q102" s="61">
        <f t="shared" si="17"/>
        <v>4401.6000000000004</v>
      </c>
      <c r="R102" s="61">
        <f>Q102/'Rooms Summary'!$Q$111</f>
        <v>0.16047249261730287</v>
      </c>
      <c r="S102" s="35"/>
      <c r="T102" s="40" t="e">
        <f t="shared" si="10"/>
        <v>#DIV/0!</v>
      </c>
    </row>
    <row r="103" spans="1:20" s="3" customFormat="1" ht="25.4" customHeight="1">
      <c r="A103" s="3" t="s">
        <v>327</v>
      </c>
      <c r="B103" s="50" t="s">
        <v>303</v>
      </c>
      <c r="D103" s="26" t="s">
        <v>328</v>
      </c>
      <c r="Q103" s="61">
        <f t="shared" si="17"/>
        <v>0</v>
      </c>
      <c r="R103" s="61">
        <f>Q103/'Rooms Summary'!$Q$111</f>
        <v>0</v>
      </c>
      <c r="S103" s="35"/>
      <c r="T103" s="40">
        <f t="shared" si="10"/>
        <v>0</v>
      </c>
    </row>
    <row r="104" spans="1:20" s="3" customFormat="1" ht="25.4" customHeight="1">
      <c r="A104" s="3" t="s">
        <v>329</v>
      </c>
      <c r="B104" s="50" t="s">
        <v>303</v>
      </c>
      <c r="D104" s="26" t="s">
        <v>330</v>
      </c>
      <c r="E104" s="3">
        <v>7184</v>
      </c>
      <c r="F104" s="3">
        <v>7184</v>
      </c>
      <c r="G104" s="3">
        <v>7184</v>
      </c>
      <c r="H104" s="3">
        <v>7184</v>
      </c>
      <c r="I104" s="3">
        <v>7184</v>
      </c>
      <c r="J104" s="3">
        <v>7184</v>
      </c>
      <c r="K104" s="3">
        <v>7488</v>
      </c>
      <c r="L104" s="3">
        <v>7488</v>
      </c>
      <c r="M104" s="3">
        <v>7488</v>
      </c>
      <c r="N104" s="3">
        <v>7488</v>
      </c>
      <c r="O104" s="3">
        <v>7488</v>
      </c>
      <c r="P104" s="3">
        <v>7488</v>
      </c>
      <c r="Q104" s="61">
        <f t="shared" si="17"/>
        <v>88032</v>
      </c>
      <c r="R104" s="61">
        <f>Q104/'Rooms Summary'!$Q$111</f>
        <v>3.2094498523460571</v>
      </c>
      <c r="S104" s="35"/>
      <c r="T104" s="40" t="e">
        <f t="shared" si="10"/>
        <v>#DIV/0!</v>
      </c>
    </row>
    <row r="105" spans="1:20" s="3" customFormat="1" ht="25.4" customHeight="1">
      <c r="A105" s="3" t="s">
        <v>331</v>
      </c>
      <c r="B105" s="50" t="s">
        <v>303</v>
      </c>
      <c r="D105" s="26" t="s">
        <v>332</v>
      </c>
      <c r="E105" s="3">
        <v>1856</v>
      </c>
      <c r="F105" s="3">
        <v>1856</v>
      </c>
      <c r="G105" s="3">
        <v>1856</v>
      </c>
      <c r="H105" s="3">
        <v>1856</v>
      </c>
      <c r="I105" s="3">
        <v>1856</v>
      </c>
      <c r="J105" s="3">
        <v>1856</v>
      </c>
      <c r="K105" s="3">
        <v>1932</v>
      </c>
      <c r="L105" s="3">
        <v>1932</v>
      </c>
      <c r="M105" s="3">
        <v>1932</v>
      </c>
      <c r="N105" s="3">
        <v>1932</v>
      </c>
      <c r="O105" s="3">
        <v>1932</v>
      </c>
      <c r="P105" s="3">
        <v>1932</v>
      </c>
      <c r="Q105" s="61">
        <f t="shared" si="17"/>
        <v>22728</v>
      </c>
      <c r="R105" s="61">
        <f>Q105/'Rooms Summary'!$Q$111</f>
        <v>0.82861205293667284</v>
      </c>
      <c r="S105" s="35"/>
      <c r="T105" s="108"/>
    </row>
    <row r="106" spans="1:20" s="3" customFormat="1" ht="25.4" customHeight="1">
      <c r="A106" s="3" t="s">
        <v>333</v>
      </c>
      <c r="B106" s="50" t="s">
        <v>303</v>
      </c>
      <c r="D106" s="26" t="s">
        <v>334</v>
      </c>
      <c r="Q106" s="61">
        <f t="shared" si="17"/>
        <v>0</v>
      </c>
      <c r="R106" s="61">
        <f>Q106/'Rooms Summary'!$Q$111</f>
        <v>0</v>
      </c>
      <c r="S106" s="35"/>
      <c r="T106" s="108"/>
    </row>
    <row r="107" spans="1:20" s="3" customFormat="1" ht="25.4" customHeight="1">
      <c r="D107" s="19" t="s">
        <v>335</v>
      </c>
      <c r="E107" s="151">
        <f>SUM(E99:E106)</f>
        <v>29461.119999999999</v>
      </c>
      <c r="F107" s="151">
        <f t="shared" ref="F107:P107" si="18">SUM(F99:F106)</f>
        <v>29461.120000000003</v>
      </c>
      <c r="G107" s="151">
        <f t="shared" si="18"/>
        <v>29461.120000000003</v>
      </c>
      <c r="H107" s="151">
        <f t="shared" si="18"/>
        <v>29461.120000000003</v>
      </c>
      <c r="I107" s="151">
        <f t="shared" si="18"/>
        <v>29461.120000000003</v>
      </c>
      <c r="J107" s="151">
        <f t="shared" si="18"/>
        <v>29461.120000000003</v>
      </c>
      <c r="K107" s="151">
        <f t="shared" si="18"/>
        <v>30806.1</v>
      </c>
      <c r="L107" s="151">
        <f t="shared" si="18"/>
        <v>30806.1</v>
      </c>
      <c r="M107" s="151">
        <f t="shared" si="18"/>
        <v>30806.1</v>
      </c>
      <c r="N107" s="151">
        <f t="shared" si="18"/>
        <v>30806.1</v>
      </c>
      <c r="O107" s="151">
        <f t="shared" si="18"/>
        <v>30806.1</v>
      </c>
      <c r="P107" s="151">
        <f t="shared" si="18"/>
        <v>30806.1</v>
      </c>
      <c r="Q107" s="151">
        <f t="shared" ref="Q107" si="19">SUM(Q99:Q106)</f>
        <v>361603.32000000007</v>
      </c>
      <c r="R107" s="61">
        <f>Q107/'Rooms Summary'!$Q$111</f>
        <v>13.18324838674396</v>
      </c>
      <c r="S107" s="35"/>
      <c r="T107" s="40" t="e">
        <f t="shared" si="10"/>
        <v>#DIV/0!</v>
      </c>
    </row>
    <row r="108" spans="1:20" s="3" customFormat="1" ht="25.4" customHeight="1">
      <c r="L108" s="152"/>
      <c r="S108" s="35"/>
      <c r="T108" s="108"/>
    </row>
    <row r="109" spans="1:20" s="3" customFormat="1" ht="25.4" customHeight="1">
      <c r="A109" s="3" t="s">
        <v>336</v>
      </c>
      <c r="B109" s="50" t="s">
        <v>303</v>
      </c>
      <c r="D109" s="26" t="s">
        <v>337</v>
      </c>
      <c r="F109" s="63"/>
      <c r="G109" s="63"/>
      <c r="H109" s="63"/>
      <c r="I109" s="63"/>
      <c r="J109" s="61"/>
      <c r="K109" s="61"/>
      <c r="L109" s="61"/>
      <c r="M109" s="61"/>
      <c r="N109" s="61"/>
      <c r="O109" s="61"/>
      <c r="P109" s="61"/>
      <c r="Q109" s="61">
        <f t="shared" ref="Q109:Q115" si="20">SUM(E109:P109)</f>
        <v>0</v>
      </c>
      <c r="R109" s="61">
        <f>Q109/'Rooms Summary'!$Q$111</f>
        <v>0</v>
      </c>
      <c r="S109" s="35"/>
      <c r="T109" s="108"/>
    </row>
    <row r="110" spans="1:20" s="3" customFormat="1" ht="25.4" customHeight="1">
      <c r="A110" s="3" t="s">
        <v>338</v>
      </c>
      <c r="B110" s="50" t="s">
        <v>303</v>
      </c>
      <c r="D110" s="3" t="s">
        <v>339</v>
      </c>
      <c r="F110" s="63"/>
      <c r="G110" s="63"/>
      <c r="H110" s="63"/>
      <c r="I110" s="63"/>
      <c r="J110" s="61"/>
      <c r="K110" s="61"/>
      <c r="L110" s="61"/>
      <c r="M110" s="61"/>
      <c r="N110" s="61"/>
      <c r="O110" s="61"/>
      <c r="P110" s="61"/>
      <c r="Q110" s="61">
        <f t="shared" si="20"/>
        <v>0</v>
      </c>
      <c r="R110" s="61">
        <f>Q110/'Rooms Summary'!$Q$111</f>
        <v>0</v>
      </c>
      <c r="S110" s="35"/>
      <c r="T110" s="108"/>
    </row>
    <row r="111" spans="1:20" s="3" customFormat="1" ht="25.4" customHeight="1">
      <c r="A111" s="3" t="s">
        <v>340</v>
      </c>
      <c r="B111" s="50" t="s">
        <v>303</v>
      </c>
      <c r="D111" s="26" t="s">
        <v>341</v>
      </c>
      <c r="F111" s="63"/>
      <c r="G111" s="63"/>
      <c r="H111" s="63"/>
      <c r="I111" s="63"/>
      <c r="J111" s="61"/>
      <c r="K111" s="61"/>
      <c r="L111" s="61"/>
      <c r="M111" s="61"/>
      <c r="N111" s="61"/>
      <c r="O111" s="61"/>
      <c r="P111" s="61"/>
      <c r="Q111" s="61">
        <f t="shared" si="20"/>
        <v>0</v>
      </c>
      <c r="R111" s="61">
        <f>Q111/'Rooms Summary'!$Q$111</f>
        <v>0</v>
      </c>
      <c r="S111" s="35"/>
      <c r="T111" s="108"/>
    </row>
    <row r="112" spans="1:20" s="3" customFormat="1" ht="25.4" customHeight="1">
      <c r="A112" s="3" t="s">
        <v>342</v>
      </c>
      <c r="B112" s="50" t="s">
        <v>303</v>
      </c>
      <c r="D112" s="26" t="s">
        <v>343</v>
      </c>
      <c r="F112" s="63"/>
      <c r="G112" s="63"/>
      <c r="H112" s="63"/>
      <c r="I112" s="63"/>
      <c r="J112" s="61"/>
      <c r="K112" s="61"/>
      <c r="L112" s="61"/>
      <c r="M112" s="61"/>
      <c r="N112" s="61"/>
      <c r="O112" s="61"/>
      <c r="P112" s="61"/>
      <c r="Q112" s="61">
        <f t="shared" si="20"/>
        <v>0</v>
      </c>
      <c r="R112" s="61">
        <f>Q112/'Rooms Summary'!$Q$111</f>
        <v>0</v>
      </c>
      <c r="S112" s="35"/>
      <c r="T112" s="108"/>
    </row>
    <row r="113" spans="1:20" s="3" customFormat="1" ht="25.4" customHeight="1">
      <c r="A113" s="3" t="s">
        <v>344</v>
      </c>
      <c r="B113" s="50" t="s">
        <v>303</v>
      </c>
      <c r="D113" s="26" t="s">
        <v>345</v>
      </c>
      <c r="E113" s="3">
        <v>900</v>
      </c>
      <c r="F113" s="3">
        <v>1200</v>
      </c>
      <c r="G113" s="3">
        <v>900</v>
      </c>
      <c r="H113" s="3">
        <v>900</v>
      </c>
      <c r="I113" s="3">
        <v>900</v>
      </c>
      <c r="J113" s="3">
        <v>900</v>
      </c>
      <c r="K113" s="3">
        <v>960</v>
      </c>
      <c r="L113" s="3">
        <v>960</v>
      </c>
      <c r="M113" s="3">
        <v>960</v>
      </c>
      <c r="N113" s="3">
        <v>960</v>
      </c>
      <c r="O113" s="3">
        <v>960</v>
      </c>
      <c r="P113" s="3">
        <v>960</v>
      </c>
      <c r="Q113" s="61">
        <f t="shared" si="20"/>
        <v>11460</v>
      </c>
      <c r="R113" s="61">
        <f>Q113/'Rooms Summary'!$Q$111</f>
        <v>0.41780597178169093</v>
      </c>
      <c r="S113" s="35"/>
      <c r="T113" s="40" t="e">
        <f>-IF(Q113-S113=0,0,(Q113-S113)/S113)</f>
        <v>#DIV/0!</v>
      </c>
    </row>
    <row r="114" spans="1:20" s="3" customFormat="1" ht="25.4" customHeight="1">
      <c r="A114" s="3" t="s">
        <v>346</v>
      </c>
      <c r="B114" s="50" t="s">
        <v>303</v>
      </c>
      <c r="D114" s="26" t="s">
        <v>347</v>
      </c>
      <c r="E114" s="3">
        <v>5335.9499999999989</v>
      </c>
      <c r="F114" s="3">
        <v>5314.95</v>
      </c>
      <c r="G114" s="3">
        <v>5294.0999999999985</v>
      </c>
      <c r="H114" s="3">
        <v>5273.4000000000015</v>
      </c>
      <c r="I114" s="3">
        <v>5133.1499999999996</v>
      </c>
      <c r="J114" s="3">
        <v>5056.2</v>
      </c>
      <c r="K114" s="3">
        <v>5294.0800000000008</v>
      </c>
      <c r="L114" s="3">
        <v>5294.0800000000008</v>
      </c>
      <c r="M114" s="3">
        <v>5255.5200000000023</v>
      </c>
      <c r="N114" s="3">
        <v>5217.4400000000005</v>
      </c>
      <c r="O114" s="3">
        <v>5198.5599999999995</v>
      </c>
      <c r="P114" s="3">
        <v>5179.8399999999983</v>
      </c>
      <c r="Q114" s="61">
        <f t="shared" si="20"/>
        <v>62847.27</v>
      </c>
      <c r="R114" s="61">
        <f>Q114/'Rooms Summary'!$Q$111</f>
        <v>2.2912709176419117</v>
      </c>
      <c r="S114" s="35"/>
      <c r="T114" s="40" t="e">
        <f t="shared" ref="T114:T117" si="21">-IF(Q114-S114=0,0,(Q114-S114)/S114)</f>
        <v>#DIV/0!</v>
      </c>
    </row>
    <row r="115" spans="1:20" s="3" customFormat="1" ht="25.4" customHeight="1">
      <c r="A115" s="3" t="s">
        <v>348</v>
      </c>
      <c r="B115" s="50" t="s">
        <v>303</v>
      </c>
      <c r="D115" s="26" t="s">
        <v>349</v>
      </c>
      <c r="E115" s="3">
        <v>15798.75</v>
      </c>
      <c r="F115" s="3">
        <v>15538.349999999991</v>
      </c>
      <c r="G115" s="3">
        <v>15335.400000000005</v>
      </c>
      <c r="H115" s="3">
        <v>15404.699999999993</v>
      </c>
      <c r="I115" s="3">
        <v>15092.549999999981</v>
      </c>
      <c r="J115" s="3">
        <v>14829.150000000007</v>
      </c>
      <c r="K115" s="3">
        <v>15690.080000000014</v>
      </c>
      <c r="L115" s="3">
        <v>15718.719999999972</v>
      </c>
      <c r="M115" s="3">
        <v>15782.400000000012</v>
      </c>
      <c r="N115" s="3">
        <v>15899.359999999988</v>
      </c>
      <c r="O115" s="3">
        <v>15705.280000000015</v>
      </c>
      <c r="P115" s="3">
        <v>15654.719999999983</v>
      </c>
      <c r="Q115" s="61">
        <f t="shared" si="20"/>
        <v>186449.45999999996</v>
      </c>
      <c r="R115" s="61">
        <f>Q115/'Rooms Summary'!$Q$111</f>
        <v>6.7975303510882625</v>
      </c>
      <c r="S115" s="35"/>
      <c r="T115" s="40" t="e">
        <f t="shared" si="21"/>
        <v>#DIV/0!</v>
      </c>
    </row>
    <row r="116" spans="1:20" s="3" customFormat="1" ht="25.4" customHeight="1">
      <c r="B116" s="50"/>
      <c r="D116" s="19" t="s">
        <v>350</v>
      </c>
      <c r="E116" s="151">
        <f>SUM(E109:E115)</f>
        <v>22034.699999999997</v>
      </c>
      <c r="F116" s="151">
        <f t="shared" ref="F116:Q116" si="22">SUM(F109:F115)</f>
        <v>22053.299999999992</v>
      </c>
      <c r="G116" s="151">
        <f t="shared" si="22"/>
        <v>21529.500000000004</v>
      </c>
      <c r="H116" s="151">
        <f t="shared" si="22"/>
        <v>21578.099999999995</v>
      </c>
      <c r="I116" s="151">
        <f t="shared" si="22"/>
        <v>21125.699999999983</v>
      </c>
      <c r="J116" s="151">
        <f t="shared" si="22"/>
        <v>20785.350000000006</v>
      </c>
      <c r="K116" s="151">
        <f t="shared" si="22"/>
        <v>21944.160000000014</v>
      </c>
      <c r="L116" s="151">
        <f t="shared" si="22"/>
        <v>21972.799999999974</v>
      </c>
      <c r="M116" s="151">
        <f t="shared" si="22"/>
        <v>21997.920000000013</v>
      </c>
      <c r="N116" s="151">
        <f t="shared" si="22"/>
        <v>22076.799999999988</v>
      </c>
      <c r="O116" s="151">
        <f t="shared" si="22"/>
        <v>21863.840000000015</v>
      </c>
      <c r="P116" s="151">
        <f t="shared" si="22"/>
        <v>21794.559999999983</v>
      </c>
      <c r="Q116" s="151">
        <f t="shared" si="22"/>
        <v>260756.72999999995</v>
      </c>
      <c r="R116" s="61">
        <f>Q116/'Rooms Summary'!$Q$111</f>
        <v>9.5066072405118653</v>
      </c>
      <c r="S116" s="35"/>
      <c r="T116" s="40" t="e">
        <f t="shared" si="21"/>
        <v>#DIV/0!</v>
      </c>
    </row>
    <row r="117" spans="1:20" s="3" customFormat="1" ht="25.4" customHeight="1">
      <c r="D117" s="19" t="s">
        <v>351</v>
      </c>
      <c r="E117" s="151">
        <f>E88+E97+E107+E116</f>
        <v>349673.97000000003</v>
      </c>
      <c r="F117" s="151">
        <f t="shared" ref="F117:P117" si="23">F88+F97+F107+F116</f>
        <v>370116.63999999996</v>
      </c>
      <c r="G117" s="151">
        <f t="shared" si="23"/>
        <v>340354.28</v>
      </c>
      <c r="H117" s="151">
        <f t="shared" si="23"/>
        <v>349657.12</v>
      </c>
      <c r="I117" s="151">
        <f t="shared" si="23"/>
        <v>361843.03999999992</v>
      </c>
      <c r="J117" s="151">
        <f t="shared" si="23"/>
        <v>344416.45999999996</v>
      </c>
      <c r="K117" s="151">
        <f t="shared" si="23"/>
        <v>387835.02</v>
      </c>
      <c r="L117" s="151">
        <f t="shared" si="23"/>
        <v>392810.44999999995</v>
      </c>
      <c r="M117" s="151">
        <f t="shared" si="23"/>
        <v>339667.85</v>
      </c>
      <c r="N117" s="151">
        <f t="shared" si="23"/>
        <v>379655.11999999994</v>
      </c>
      <c r="O117" s="151">
        <f t="shared" si="23"/>
        <v>353560.91</v>
      </c>
      <c r="P117" s="151">
        <f t="shared" si="23"/>
        <v>364112.17</v>
      </c>
      <c r="Q117" s="349">
        <f>Q88+Q97+Q107+Q116</f>
        <v>4333703.0299999993</v>
      </c>
      <c r="R117" s="61">
        <f>Q117/'Rooms Summary'!$Q$111</f>
        <v>157.9971209304021</v>
      </c>
      <c r="S117" s="35"/>
      <c r="T117" s="40" t="e">
        <f t="shared" si="21"/>
        <v>#DIV/0!</v>
      </c>
    </row>
    <row r="118" spans="1:20" s="42" customFormat="1" ht="25.4" customHeight="1">
      <c r="A118" s="42" t="s">
        <v>352</v>
      </c>
      <c r="D118" s="42" t="s">
        <v>353</v>
      </c>
      <c r="E118" s="173">
        <f>+E117-E11</f>
        <v>0</v>
      </c>
      <c r="L118" s="152"/>
      <c r="Q118" s="42">
        <f>Q117-Q95-Q96</f>
        <v>1830385.8299999991</v>
      </c>
      <c r="S118" s="35"/>
      <c r="T118" s="108"/>
    </row>
    <row r="119" spans="1:20" s="42" customFormat="1" ht="25.4" customHeight="1">
      <c r="E119" s="173"/>
      <c r="L119" s="152"/>
      <c r="S119" s="35"/>
      <c r="T119" s="108"/>
    </row>
    <row r="120" spans="1:20" s="3" customFormat="1" ht="25.4" customHeight="1">
      <c r="A120" s="177" t="s">
        <v>108</v>
      </c>
      <c r="B120" s="69" t="s">
        <v>303</v>
      </c>
      <c r="D120" s="19" t="s">
        <v>354</v>
      </c>
      <c r="E120" s="79">
        <v>24</v>
      </c>
      <c r="F120" s="79">
        <v>25</v>
      </c>
      <c r="G120" s="79">
        <v>23</v>
      </c>
      <c r="H120" s="79">
        <v>24</v>
      </c>
      <c r="I120" s="79">
        <v>27</v>
      </c>
      <c r="J120" s="79">
        <v>26</v>
      </c>
      <c r="K120" s="79">
        <v>31</v>
      </c>
      <c r="L120" s="79">
        <v>32</v>
      </c>
      <c r="M120" s="79">
        <v>26</v>
      </c>
      <c r="N120" s="79">
        <v>29</v>
      </c>
      <c r="O120" s="79">
        <v>25</v>
      </c>
      <c r="P120" s="79">
        <v>26</v>
      </c>
      <c r="Q120" s="133">
        <f>SUM(E120:P120)/12</f>
        <v>26.5</v>
      </c>
      <c r="S120" s="35"/>
      <c r="T120" s="40" t="e">
        <f>-IF(Q120-S120=0,0,(Q120-S120)/S120)</f>
        <v>#DIV/0!</v>
      </c>
    </row>
    <row r="122" spans="1:20" ht="26.25" customHeight="1">
      <c r="D122" s="58"/>
    </row>
  </sheetData>
  <phoneticPr fontId="56" type="noConversion"/>
  <dataValidations count="59">
    <dataValidation type="textLength" errorStyle="information" allowBlank="1" showInputMessage="1" showErrorMessage="1" error="XLBVal:6=258096_x000d__x000a_" sqref="Q113">
      <formula1>0</formula1>
      <formula2>300</formula2>
    </dataValidation>
    <dataValidation type="textLength" errorStyle="information" allowBlank="1" showInputMessage="1" showErrorMessage="1" error="XLBVal:6=1439748_x000d__x000a_" sqref="Q99">
      <formula1>0</formula1>
      <formula2>300</formula2>
    </dataValidation>
    <dataValidation type="textLength" errorStyle="information" allowBlank="1" showInputMessage="1" showErrorMessage="1" error="XLBVal:6=265776_x000d__x000a_" sqref="Q80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217144_x000d__x000a_" sqref="E87:P87">
      <formula1>0</formula1>
      <formula2>300</formula2>
    </dataValidation>
    <dataValidation type="textLength" errorStyle="information" allowBlank="1" showInputMessage="1" showErrorMessage="1" error="XLBVal:6=10508400_x000d__x000a_" sqref="Q14">
      <formula1>0</formula1>
      <formula2>300</formula2>
    </dataValidation>
    <dataValidation type="textLength" errorStyle="information" allowBlank="1" showInputMessage="1" showErrorMessage="1" error="XLBVal:6=226546.19_x000d__x000a_" sqref="E11:P11">
      <formula1>0</formula1>
      <formula2>300</formula2>
    </dataValidation>
    <dataValidation type="textLength" errorStyle="information" allowBlank="1" showInputMessage="1" showErrorMessage="1" error="XLBVal:6=18155331_x000d__x000a_" sqref="Q11">
      <formula1>0</formula1>
      <formula2>300</formula2>
    </dataValidation>
    <dataValidation type="textLength" errorStyle="information" allowBlank="1" showInputMessage="1" showErrorMessage="1" error="XLBVal:6=0_x000d__x000a_" sqref="E82:Q82 E14:G14">
      <formula1>0</formula1>
      <formula2>300</formula2>
    </dataValidation>
    <dataValidation type="textLength" errorStyle="information" allowBlank="1" showInputMessage="1" showErrorMessage="1" error="XLBVal:6=533.97_x000d__x000a_" sqref="E25:P25">
      <formula1>0</formula1>
      <formula2>300</formula2>
    </dataValidation>
    <dataValidation type="textLength" errorStyle="information" allowBlank="1" showInputMessage="1" showErrorMessage="1" error="XLBVal:6=6595485.04_x000d__x000a_" sqref="G12">
      <formula1>0</formula1>
      <formula2>300</formula2>
    </dataValidation>
    <dataValidation type="textLength" errorStyle="information" allowBlank="1" showInputMessage="1" showErrorMessage="1" error="XLBVal:6=40347.72_x000d__x000a_" sqref="E86:P86">
      <formula1>0</formula1>
      <formula2>300</formula2>
    </dataValidation>
    <dataValidation type="textLength" errorStyle="information" allowBlank="1" showInputMessage="1" showErrorMessage="1" error="XLBVal:6=877776_x000d__x000a_" sqref="Q114">
      <formula1>0</formula1>
      <formula2>300</formula2>
    </dataValidation>
    <dataValidation type="textLength" errorStyle="information" allowBlank="1" showInputMessage="1" showErrorMessage="1" error="XLBVal:2=0_x000d__x000a_" sqref="E70:Q70 E93:P96 E81:Q81 Q86 Q92 Q35:Q48 Q15:Q32 H14:P17 Q50:Q67 Q109:Q112 E74:Q79 E106:Q106 F12 E72:Q72 E68:P68 E23:P24 E20:P21 E40:P41 E109:P114 E43:P66 E15:G17 E26:P28 E30:P37">
      <formula1>0</formula1>
      <formula2>300</formula2>
    </dataValidation>
    <dataValidation type="textLength" errorStyle="information" allowBlank="1" showInputMessage="1" showErrorMessage="1" error="XLBVal:6=-1310.21_x000d__x000a_" sqref="E29:P29">
      <formula1>0</formula1>
      <formula2>300</formula2>
    </dataValidation>
    <dataValidation type="textLength" errorStyle="information" allowBlank="1" showInputMessage="1" showErrorMessage="1" error="XLBVal:5=15426.66_x000d__x000a_" sqref="I12">
      <formula1>0</formula1>
      <formula2>300</formula2>
    </dataValidation>
    <dataValidation type="textLength" errorStyle="information" allowBlank="1" showInputMessage="1" showErrorMessage="1" error="XLBVal:6=45391_x000d__x000a_" sqref="Q33">
      <formula1>0</formula1>
      <formula2>300</formula2>
    </dataValidation>
    <dataValidation type="textLength" errorStyle="information" allowBlank="1" showInputMessage="1" showErrorMessage="1" error="XLBVal:6=58_x000d__x000a_" sqref="E73:P73">
      <formula1>0</formula1>
      <formula2>300</formula2>
    </dataValidation>
    <dataValidation type="textLength" errorStyle="information" allowBlank="1" showInputMessage="1" showErrorMessage="1" error="XLBVal:6=497071_x000d__x000a_" sqref="Q34">
      <formula1>0</formula1>
      <formula2>300</formula2>
    </dataValidation>
    <dataValidation type="textLength" errorStyle="information" allowBlank="1" showInputMessage="1" showErrorMessage="1" error="XLBVal:6=27363.67_x000d__x000a_" sqref="E39:P39">
      <formula1>0</formula1>
      <formula2>300</formula2>
    </dataValidation>
    <dataValidation type="textLength" errorStyle="information" allowBlank="1" showInputMessage="1" showErrorMessage="1" error="XLBVal:6=1920_x000d__x000a_" sqref="E42:P42">
      <formula1>0</formula1>
      <formula2>300</formula2>
    </dataValidation>
    <dataValidation type="textLength" errorStyle="information" allowBlank="1" showInputMessage="1" showErrorMessage="1" error="XLBVal:6=6688509.16_x000d__x000a_" sqref="E12:E13 F13:P13 E22:P22">
      <formula1>0</formula1>
      <formula2>300</formula2>
    </dataValidation>
    <dataValidation type="textLength" errorStyle="information" allowBlank="1" showInputMessage="1" showErrorMessage="1" error="XLBVal:6=31710_x000d__x000a_" sqref="Q102">
      <formula1>0</formula1>
      <formula2>300</formula2>
    </dataValidation>
    <dataValidation type="textLength" errorStyle="information" allowBlank="1" showInputMessage="1" showErrorMessage="1" error="XLBVal:6=1640556_x000d__x000a_" sqref="Q91">
      <formula1>0</formula1>
      <formula2>300</formula2>
    </dataValidation>
    <dataValidation type="textLength" errorStyle="information" allowBlank="1" showInputMessage="1" showErrorMessage="1" error="XLBVal:6=497000_x000d__x000a_" sqref="Q49">
      <formula1>0</formula1>
      <formula2>300</formula2>
    </dataValidation>
    <dataValidation type="textLength" errorStyle="information" allowBlank="1" showInputMessage="1" showErrorMessage="1" error="XLBVal:6=39534_x000d__x000a_" sqref="Q101">
      <formula1>0</formula1>
      <formula2>300</formula2>
    </dataValidation>
    <dataValidation type="textLength" errorStyle="information" allowBlank="1" showInputMessage="1" showErrorMessage="1" error="XLBVal:6=3_x000d__x000a_" sqref="Q93">
      <formula1>0</formula1>
      <formula2>300</formula2>
    </dataValidation>
    <dataValidation type="textLength" errorStyle="information" allowBlank="1" showInputMessage="1" showErrorMessage="1" error="XLBVal:6=646.26_x000d__x000a_" sqref="E67:P67">
      <formula1>0</formula1>
      <formula2>300</formula2>
    </dataValidation>
    <dataValidation type="textLength" errorStyle="information" allowBlank="1" showInputMessage="1" showErrorMessage="1" error="XLBVal:6=128852_x000d__x000a_" sqref="Q68">
      <formula1>0</formula1>
      <formula2>300</formula2>
    </dataValidation>
    <dataValidation type="textLength" errorStyle="information" allowBlank="1" showInputMessage="1" showErrorMessage="1" error="XLBVal:6=541.23_x000d__x000a_" sqref="E69:P69">
      <formula1>0</formula1>
      <formula2>300</formula2>
    </dataValidation>
    <dataValidation type="textLength" errorStyle="information" allowBlank="1" showInputMessage="1" showErrorMessage="1" error="XLBVal:6=2195857_x000d__x000a_" sqref="Q69">
      <formula1>0</formula1>
      <formula2>300</formula2>
    </dataValidation>
    <dataValidation type="textLength" errorStyle="information" allowBlank="1" showInputMessage="1" showErrorMessage="1" error="XLBVal:6=1119.5_x000d__x000a_" sqref="E71:P71">
      <formula1>0</formula1>
      <formula2>300</formula2>
    </dataValidation>
    <dataValidation type="textLength" errorStyle="information" allowBlank="1" showInputMessage="1" showErrorMessage="1" error="XLBVal:6=913200_x000d__x000a_" sqref="Q71">
      <formula1>0</formula1>
      <formula2>300</formula2>
    </dataValidation>
    <dataValidation type="textLength" errorStyle="information" allowBlank="1" showInputMessage="1" showErrorMessage="1" error="XLBVal:6=78120_x000d__x000a_" sqref="Q73">
      <formula1>0</formula1>
      <formula2>300</formula2>
    </dataValidation>
    <dataValidation type="textLength" errorStyle="information" allowBlank="1" showInputMessage="1" showErrorMessage="1" error="XLBVal:6=234560_x000d__x000a_" sqref="Q105">
      <formula1>0</formula1>
      <formula2>300</formula2>
    </dataValidation>
    <dataValidation type="textLength" errorStyle="information" allowBlank="1" showInputMessage="1" showErrorMessage="1" error="XLBVal:6=514.58_x000d__x000a_" sqref="E80:P80">
      <formula1>0</formula1>
      <formula2>300</formula2>
    </dataValidation>
    <dataValidation type="textLength" errorStyle="information" allowBlank="1" showInputMessage="1" showErrorMessage="1" error="XLBVal:6=2793648_x000d__x000a_" sqref="Q87">
      <formula1>0</formula1>
      <formula2>300</formula2>
    </dataValidation>
    <dataValidation type="textLength" errorStyle="information" allowBlank="1" showInputMessage="1" showErrorMessage="1" error="XLBVal:6=2544_x000d__x000a_" sqref="Q120">
      <formula1>0</formula1>
      <formula2>300</formula2>
    </dataValidation>
    <dataValidation type="textLength" errorStyle="information" allowBlank="1" showInputMessage="1" showErrorMessage="1" sqref="E83:I85 H108:I108 H98:I98 E118:I119">
      <formula1>0</formula1>
      <formula2>300</formula2>
    </dataValidation>
    <dataValidation type="textLength" errorStyle="information" allowBlank="1" showInputMessage="1" showErrorMessage="1" error="XLBVal:6=447561_x000d__x000a_" sqref="Q90">
      <formula1>0</formula1>
      <formula2>300</formula2>
    </dataValidation>
    <dataValidation type="textLength" errorStyle="information" allowBlank="1" showInputMessage="1" showErrorMessage="1" error="XLBVal:6=639338_x000d__x000a_" sqref="Q94:Q96">
      <formula1>0</formula1>
      <formula2>300</formula2>
    </dataValidation>
    <dataValidation type="textLength" errorStyle="information" allowBlank="1" showInputMessage="1" showErrorMessage="1" error="XLBVal:6=632410_x000d__x000a_" sqref="Q100">
      <formula1>0</formula1>
      <formula2>300</formula2>
    </dataValidation>
    <dataValidation type="textLength" errorStyle="information" allowBlank="1" showInputMessage="1" showErrorMessage="1" error="XLBVal:6=39654_x000d__x000a_" sqref="Q103">
      <formula1>0</formula1>
      <formula2>300</formula2>
    </dataValidation>
    <dataValidation type="textLength" errorStyle="information" allowBlank="1" showInputMessage="1" showErrorMessage="1" error="XLBVal:6=354026_x000d__x000a_" sqref="Q104">
      <formula1>0</formula1>
      <formula2>300</formula2>
    </dataValidation>
    <dataValidation type="textLength" errorStyle="information" allowBlank="1" showInputMessage="1" showErrorMessage="1" error="XLBVal:6=3678_x000d__x000a_" sqref="E108:G108">
      <formula1>0</formula1>
      <formula2>300</formula2>
    </dataValidation>
    <dataValidation type="textLength" errorStyle="information" allowBlank="1" showInputMessage="1" showErrorMessage="1" error="XLBVal:6=3099839_x000d__x000a_" sqref="Q115">
      <formula1>0</formula1>
      <formula2>300</formula2>
    </dataValidation>
    <dataValidation type="textLength" errorStyle="information" allowBlank="1" showInputMessage="1" showErrorMessage="1" error="XLBVal:5=-2586288.67_x000d__x000a_" sqref="H12">
      <formula1>0</formula1>
      <formula2>300</formula2>
    </dataValidation>
    <dataValidation type="textLength" errorStyle="information" allowBlank="1" showInputMessage="1" showErrorMessage="1" error="XLBVal:6=46954.93_x000d__x000a_" sqref="E18:P19">
      <formula1>0</formula1>
      <formula2>300</formula2>
    </dataValidation>
    <dataValidation type="textLength" errorStyle="information" allowBlank="1" showInputMessage="1" showErrorMessage="1" error="XLBVal:6=80_x000d__x000a_" sqref="E92:P92">
      <formula1>0</formula1>
      <formula2>300</formula2>
    </dataValidation>
    <dataValidation type="textLength" errorStyle="information" allowBlank="1" showInputMessage="1" showErrorMessage="1" error="XLBVal:6=267.84_x000d__x000a_" sqref="E103:P104">
      <formula1>0</formula1>
      <formula2>300</formula2>
    </dataValidation>
    <dataValidation type="textLength" errorStyle="information" allowBlank="1" showInputMessage="1" showErrorMessage="1" error="XLBVal:6=4215_x000d__x000a_" sqref="E115:P115">
      <formula1>0</formula1>
      <formula2>300</formula2>
    </dataValidation>
    <dataValidation type="textLength" errorStyle="information" allowBlank="1" showInputMessage="1" showErrorMessage="1" error="XLBVal:6=7_x000d__x000a_" sqref="E120:P120">
      <formula1>0</formula1>
      <formula2>300</formula2>
    </dataValidation>
    <dataValidation type="textLength" errorStyle="information" allowBlank="1" showInputMessage="1" showErrorMessage="1" error="XLBVal:6=3201_x000d__x000a_" sqref="E105:P105">
      <formula1>0</formula1>
      <formula2>300</formula2>
    </dataValidation>
    <dataValidation type="textLength" errorStyle="information" allowBlank="1" showInputMessage="1" showErrorMessage="1" error="XLBVal:6=136.86_x000d__x000a_" sqref="E102:P102">
      <formula1>0</formula1>
      <formula2>300</formula2>
    </dataValidation>
    <dataValidation type="textLength" errorStyle="information" allowBlank="1" showInputMessage="1" showErrorMessage="1" error="XLBVal:6=171.07_x000d__x000a_" sqref="E101:P101">
      <formula1>0</formula1>
      <formula2>300</formula2>
    </dataValidation>
    <dataValidation type="textLength" errorStyle="information" allowBlank="1" showInputMessage="1" showErrorMessage="1" error="XLBVal:6=2678.4_x000d__x000a_" sqref="E100:P100">
      <formula1>0</formula1>
      <formula2>300</formula2>
    </dataValidation>
    <dataValidation type="textLength" errorStyle="information" allowBlank="1" showInputMessage="1" showErrorMessage="1" error="XLBVal:6=5473.92_x000d__x000a_" sqref="E99:P99">
      <formula1>0</formula1>
      <formula2>300</formula2>
    </dataValidation>
    <dataValidation type="textLength" errorStyle="information" allowBlank="1" showInputMessage="1" showErrorMessage="1" error="XLBVal:6=1613.8_x000d__x000a_" sqref="E90:P90">
      <formula1>0</formula1>
      <formula2>300</formula2>
    </dataValidation>
    <dataValidation type="textLength" errorStyle="information" allowBlank="1" showInputMessage="1" showErrorMessage="1" error="XLBVal:6=3141.67_x000d__x000a_" sqref="E91:P91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5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T120"/>
  <sheetViews>
    <sheetView zoomScale="55" zoomScaleNormal="55" zoomScaleSheetLayoutView="40" workbookViewId="0">
      <pane ySplit="10" topLeftCell="A11" activePane="bottomLeft" state="frozen"/>
      <selection activeCell="A77" sqref="A77:XFD77"/>
      <selection pane="bottomLeft" activeCell="E69" sqref="E69:P69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9.453125" style="6" customWidth="1" collapsed="1"/>
    <col min="5" max="5" width="18.453125" style="7" customWidth="1"/>
    <col min="6" max="6" width="17.453125" style="7" customWidth="1"/>
    <col min="7" max="9" width="18.453125" style="7" customWidth="1"/>
    <col min="10" max="11" width="18.453125" style="174" customWidth="1"/>
    <col min="12" max="12" width="18.453125" style="5" customWidth="1"/>
    <col min="13" max="16" width="18.453125" style="174" customWidth="1"/>
    <col min="17" max="17" width="21.453125" style="174" customWidth="1"/>
    <col min="18" max="18" width="13" style="174" customWidth="1"/>
    <col min="19" max="19" width="22.453125" style="178" hidden="1" customWidth="1"/>
    <col min="20" max="20" width="22.453125" style="179" hidden="1" customWidth="1"/>
    <col min="21" max="16384" width="8.90625" style="174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  <c r="T1" s="167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  <c r="T2" s="167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  <c r="T3" s="167"/>
    </row>
    <row r="4" spans="1:20" s="2" customFormat="1" ht="25.4" customHeight="1">
      <c r="D4" s="10" t="str">
        <f>Summary!D4</f>
        <v>Hotel Budget Report</v>
      </c>
      <c r="E4" s="11"/>
      <c r="F4" s="11"/>
      <c r="G4" s="12"/>
      <c r="H4" s="13"/>
      <c r="I4" s="13"/>
      <c r="S4" s="33"/>
      <c r="T4" s="180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  <c r="T5" s="180"/>
    </row>
    <row r="6" spans="1:20" s="2" customFormat="1" ht="25.4" customHeight="1">
      <c r="D6" s="14" t="s">
        <v>360</v>
      </c>
      <c r="E6" s="13"/>
      <c r="F6" s="13"/>
      <c r="G6" s="13"/>
      <c r="H6" s="13"/>
      <c r="I6" s="13"/>
      <c r="S6" s="33"/>
      <c r="T6" s="180"/>
    </row>
    <row r="7" spans="1:20" s="2" customFormat="1" ht="25.4" customHeight="1">
      <c r="D7" s="10">
        <f>Parameter!H4</f>
        <v>2025</v>
      </c>
      <c r="E7" s="13"/>
      <c r="F7" s="13"/>
      <c r="G7" s="13"/>
      <c r="H7" s="13"/>
      <c r="I7" s="13"/>
      <c r="S7" s="33"/>
      <c r="T7" s="180"/>
    </row>
    <row r="8" spans="1:20" ht="25.4" customHeight="1">
      <c r="A8" s="174"/>
      <c r="B8" s="174"/>
      <c r="C8" s="174"/>
      <c r="D8" s="175"/>
      <c r="E8" s="176"/>
      <c r="F8" s="176"/>
      <c r="G8" s="176"/>
      <c r="H8" s="176"/>
      <c r="I8" s="17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109"/>
      <c r="T9" s="110"/>
    </row>
    <row r="10" spans="1:20" s="4" customFormat="1" ht="40.4" customHeight="1">
      <c r="A10" s="19" t="s">
        <v>18</v>
      </c>
      <c r="B10" s="19" t="s">
        <v>19</v>
      </c>
      <c r="C10" s="19" t="s">
        <v>114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A11" s="3" t="s">
        <v>106</v>
      </c>
      <c r="B11" s="50" t="s">
        <v>305</v>
      </c>
      <c r="D11" s="21" t="s">
        <v>139</v>
      </c>
      <c r="E11" s="45">
        <f>E115</f>
        <v>44332.79</v>
      </c>
      <c r="F11" s="45">
        <f t="shared" ref="F11:P11" si="0">F115</f>
        <v>39704.5</v>
      </c>
      <c r="G11" s="45">
        <f t="shared" si="0"/>
        <v>39529.9</v>
      </c>
      <c r="H11" s="45">
        <f t="shared" si="0"/>
        <v>40936.439999999995</v>
      </c>
      <c r="I11" s="45">
        <f t="shared" si="0"/>
        <v>41712.53</v>
      </c>
      <c r="J11" s="45">
        <f t="shared" si="0"/>
        <v>39281.85</v>
      </c>
      <c r="K11" s="45">
        <f t="shared" si="0"/>
        <v>39210.949999999997</v>
      </c>
      <c r="L11" s="45">
        <f t="shared" si="0"/>
        <v>39219.9</v>
      </c>
      <c r="M11" s="45">
        <f t="shared" si="0"/>
        <v>39227.75</v>
      </c>
      <c r="N11" s="45">
        <f t="shared" si="0"/>
        <v>43886.89</v>
      </c>
      <c r="O11" s="45">
        <f t="shared" si="0"/>
        <v>39185.850000000006</v>
      </c>
      <c r="P11" s="45">
        <f t="shared" si="0"/>
        <v>39164.199999999997</v>
      </c>
      <c r="Q11" s="169">
        <f>SUM(E11:P11)</f>
        <v>485393.5500000001</v>
      </c>
      <c r="R11" s="39">
        <f>Q11/'Rooms Summary'!$Q$20</f>
        <v>1.1043029899312032E-2</v>
      </c>
      <c r="S11" s="35"/>
      <c r="T11" s="40" t="e">
        <f>-IF(Q11-S11=0,0,(Q11-S11)/S11)</f>
        <v>#DIV/0!</v>
      </c>
    </row>
    <row r="12" spans="1:20" s="3" customFormat="1" ht="25.4" customHeight="1">
      <c r="D12" s="26"/>
      <c r="E12" s="63"/>
      <c r="F12" s="63"/>
      <c r="G12" s="63"/>
      <c r="H12" s="63"/>
      <c r="I12" s="63"/>
      <c r="L12" s="152"/>
      <c r="S12" s="35"/>
      <c r="T12" s="108"/>
    </row>
    <row r="13" spans="1:20" s="3" customFormat="1" ht="25.4" customHeight="1">
      <c r="D13" s="21" t="s">
        <v>140</v>
      </c>
      <c r="E13" s="63"/>
      <c r="F13" s="63"/>
      <c r="G13" s="63"/>
      <c r="H13" s="63"/>
      <c r="I13" s="63"/>
      <c r="L13" s="152"/>
      <c r="R13" s="34" t="s">
        <v>141</v>
      </c>
      <c r="S13" s="35"/>
      <c r="T13" s="108"/>
    </row>
    <row r="14" spans="1:20" s="3" customFormat="1" ht="25.4" customHeight="1">
      <c r="A14" s="3" t="s">
        <v>142</v>
      </c>
      <c r="B14" s="50" t="s">
        <v>305</v>
      </c>
      <c r="D14" s="26" t="s">
        <v>143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1">
        <f>SUM(E14:P14)</f>
        <v>0</v>
      </c>
      <c r="R14" s="61">
        <f>Q14/'Rooms Summary'!$Q$111</f>
        <v>0</v>
      </c>
      <c r="S14" s="35"/>
      <c r="T14" s="40">
        <f>-IF(Q14-S14=0,0,(Q14-S14)/S14)</f>
        <v>0</v>
      </c>
    </row>
    <row r="15" spans="1:20" s="3" customFormat="1" ht="25.4" customHeight="1">
      <c r="A15" s="3" t="s">
        <v>144</v>
      </c>
      <c r="B15" s="50" t="s">
        <v>305</v>
      </c>
      <c r="D15" s="26" t="s">
        <v>145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1">
        <f t="shared" ref="Q15:Q78" si="1">SUM(E15:P15)</f>
        <v>0</v>
      </c>
      <c r="R15" s="61">
        <f>Q15/'Rooms Summary'!$Q$111</f>
        <v>0</v>
      </c>
      <c r="S15" s="35"/>
      <c r="T15" s="40">
        <f t="shared" ref="T15:T78" si="2">-IF(Q15-S15=0,0,(Q15-S15)/S15)</f>
        <v>0</v>
      </c>
    </row>
    <row r="16" spans="1:20" s="3" customFormat="1" ht="25.4" customHeight="1">
      <c r="A16" s="3" t="s">
        <v>146</v>
      </c>
      <c r="B16" s="50" t="s">
        <v>305</v>
      </c>
      <c r="D16" s="26" t="s">
        <v>147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1">
        <f t="shared" si="1"/>
        <v>0</v>
      </c>
      <c r="R16" s="61">
        <f>Q16/'Rooms Summary'!$Q$111</f>
        <v>0</v>
      </c>
      <c r="S16" s="35"/>
      <c r="T16" s="40">
        <f t="shared" si="2"/>
        <v>0</v>
      </c>
    </row>
    <row r="17" spans="1:20" s="3" customFormat="1" ht="25.4" customHeight="1">
      <c r="A17" s="3" t="s">
        <v>148</v>
      </c>
      <c r="B17" s="50" t="s">
        <v>305</v>
      </c>
      <c r="D17" s="26" t="s">
        <v>149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1">
        <f t="shared" si="1"/>
        <v>0</v>
      </c>
      <c r="R17" s="61">
        <f>Q17/'Rooms Summary'!$Q$111</f>
        <v>0</v>
      </c>
      <c r="S17" s="35"/>
      <c r="T17" s="108">
        <f t="shared" si="2"/>
        <v>0</v>
      </c>
    </row>
    <row r="18" spans="1:20" s="3" customFormat="1" ht="25.4" hidden="1" customHeight="1">
      <c r="A18" s="3" t="s">
        <v>150</v>
      </c>
      <c r="B18" s="50" t="s">
        <v>305</v>
      </c>
      <c r="D18" s="26" t="s">
        <v>151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1">
        <f t="shared" si="1"/>
        <v>0</v>
      </c>
      <c r="R18" s="61">
        <f>Q18/'Rooms Summary'!$Q$111</f>
        <v>0</v>
      </c>
      <c r="S18" s="35"/>
      <c r="T18" s="108">
        <f t="shared" si="2"/>
        <v>0</v>
      </c>
    </row>
    <row r="19" spans="1:20" s="3" customFormat="1" ht="25.4" hidden="1" customHeight="1">
      <c r="A19" s="3" t="s">
        <v>152</v>
      </c>
      <c r="B19" s="50" t="s">
        <v>305</v>
      </c>
      <c r="D19" s="26" t="s">
        <v>153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1">
        <f t="shared" si="1"/>
        <v>0</v>
      </c>
      <c r="R19" s="61">
        <f>Q19/'Rooms Summary'!$Q$111</f>
        <v>0</v>
      </c>
      <c r="S19" s="35"/>
      <c r="T19" s="108">
        <f t="shared" si="2"/>
        <v>0</v>
      </c>
    </row>
    <row r="20" spans="1:20" s="3" customFormat="1" ht="25.4" hidden="1" customHeight="1">
      <c r="A20" s="3" t="s">
        <v>154</v>
      </c>
      <c r="B20" s="50" t="s">
        <v>305</v>
      </c>
      <c r="D20" s="26" t="s">
        <v>155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1">
        <f t="shared" si="1"/>
        <v>0</v>
      </c>
      <c r="R20" s="61">
        <f>Q20/'Rooms Summary'!$Q$111</f>
        <v>0</v>
      </c>
      <c r="S20" s="35"/>
      <c r="T20" s="108">
        <f t="shared" si="2"/>
        <v>0</v>
      </c>
    </row>
    <row r="21" spans="1:20" s="3" customFormat="1" ht="25.4" hidden="1" customHeight="1">
      <c r="A21" s="3" t="s">
        <v>156</v>
      </c>
      <c r="B21" s="50" t="s">
        <v>305</v>
      </c>
      <c r="D21" s="26" t="s">
        <v>157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1">
        <f t="shared" si="1"/>
        <v>0</v>
      </c>
      <c r="R21" s="61">
        <f>Q21/'Rooms Summary'!$Q$111</f>
        <v>0</v>
      </c>
      <c r="S21" s="35"/>
      <c r="T21" s="108">
        <f t="shared" si="2"/>
        <v>0</v>
      </c>
    </row>
    <row r="22" spans="1:20" s="3" customFormat="1" ht="25.4" hidden="1" customHeight="1">
      <c r="A22" s="3" t="s">
        <v>158</v>
      </c>
      <c r="B22" s="50" t="s">
        <v>305</v>
      </c>
      <c r="D22" s="26" t="s">
        <v>159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1">
        <f t="shared" si="1"/>
        <v>0</v>
      </c>
      <c r="R22" s="61">
        <f>Q22/'Rooms Summary'!$Q$111</f>
        <v>0</v>
      </c>
      <c r="S22" s="35"/>
      <c r="T22" s="108">
        <f t="shared" si="2"/>
        <v>0</v>
      </c>
    </row>
    <row r="23" spans="1:20" s="3" customFormat="1" ht="25.4" hidden="1" customHeight="1">
      <c r="A23" s="3" t="s">
        <v>160</v>
      </c>
      <c r="B23" s="50" t="s">
        <v>305</v>
      </c>
      <c r="D23" s="26" t="s">
        <v>161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1">
        <f t="shared" si="1"/>
        <v>0</v>
      </c>
      <c r="R23" s="61">
        <f>Q23/'Rooms Summary'!$Q$111</f>
        <v>0</v>
      </c>
      <c r="S23" s="35"/>
      <c r="T23" s="108">
        <f t="shared" si="2"/>
        <v>0</v>
      </c>
    </row>
    <row r="24" spans="1:20" s="3" customFormat="1" ht="25.4" hidden="1" customHeight="1">
      <c r="A24" s="3" t="s">
        <v>162</v>
      </c>
      <c r="B24" s="50" t="s">
        <v>305</v>
      </c>
      <c r="D24" s="26" t="s">
        <v>163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1">
        <f t="shared" si="1"/>
        <v>0</v>
      </c>
      <c r="R24" s="61">
        <f>Q24/'Rooms Summary'!$Q$111</f>
        <v>0</v>
      </c>
      <c r="S24" s="35"/>
      <c r="T24" s="108">
        <f t="shared" si="2"/>
        <v>0</v>
      </c>
    </row>
    <row r="25" spans="1:20" s="3" customFormat="1" ht="25.4" hidden="1" customHeight="1">
      <c r="A25" s="3" t="s">
        <v>164</v>
      </c>
      <c r="B25" s="50" t="s">
        <v>305</v>
      </c>
      <c r="D25" s="26" t="s">
        <v>165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1">
        <f t="shared" si="1"/>
        <v>0</v>
      </c>
      <c r="R25" s="61">
        <f>Q25/'Rooms Summary'!$Q$111</f>
        <v>0</v>
      </c>
      <c r="S25" s="35"/>
      <c r="T25" s="108">
        <f t="shared" si="2"/>
        <v>0</v>
      </c>
    </row>
    <row r="26" spans="1:20" s="3" customFormat="1" ht="25.4" hidden="1" customHeight="1">
      <c r="A26" s="3" t="s">
        <v>166</v>
      </c>
      <c r="B26" s="50" t="s">
        <v>305</v>
      </c>
      <c r="D26" s="26" t="s">
        <v>167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1">
        <f t="shared" si="1"/>
        <v>0</v>
      </c>
      <c r="R26" s="61">
        <f>Q26/'Rooms Summary'!$Q$111</f>
        <v>0</v>
      </c>
      <c r="S26" s="35"/>
      <c r="T26" s="108">
        <f t="shared" si="2"/>
        <v>0</v>
      </c>
    </row>
    <row r="27" spans="1:20" s="3" customFormat="1" ht="25.4" hidden="1" customHeight="1">
      <c r="A27" s="3" t="s">
        <v>168</v>
      </c>
      <c r="B27" s="50" t="s">
        <v>305</v>
      </c>
      <c r="D27" s="26" t="s">
        <v>169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1">
        <f t="shared" si="1"/>
        <v>0</v>
      </c>
      <c r="R27" s="61">
        <f>Q27/'Rooms Summary'!$Q$111</f>
        <v>0</v>
      </c>
      <c r="S27" s="35"/>
      <c r="T27" s="108">
        <f t="shared" si="2"/>
        <v>0</v>
      </c>
    </row>
    <row r="28" spans="1:20" s="3" customFormat="1" ht="25.4" hidden="1" customHeight="1">
      <c r="A28" s="3" t="s">
        <v>170</v>
      </c>
      <c r="B28" s="50" t="s">
        <v>305</v>
      </c>
      <c r="D28" s="26" t="s">
        <v>171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1">
        <f t="shared" si="1"/>
        <v>0</v>
      </c>
      <c r="R28" s="61">
        <f>Q28/'Rooms Summary'!$Q$111</f>
        <v>0</v>
      </c>
      <c r="S28" s="35"/>
      <c r="T28" s="108">
        <f t="shared" si="2"/>
        <v>0</v>
      </c>
    </row>
    <row r="29" spans="1:20" s="3" customFormat="1" ht="25.4" hidden="1" customHeight="1">
      <c r="A29" s="3" t="s">
        <v>172</v>
      </c>
      <c r="B29" s="50" t="s">
        <v>305</v>
      </c>
      <c r="D29" s="26" t="s">
        <v>173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1">
        <f t="shared" si="1"/>
        <v>0</v>
      </c>
      <c r="R29" s="61">
        <f>Q29/'Rooms Summary'!$Q$111</f>
        <v>0</v>
      </c>
      <c r="S29" s="35"/>
      <c r="T29" s="108">
        <f t="shared" si="2"/>
        <v>0</v>
      </c>
    </row>
    <row r="30" spans="1:20" s="3" customFormat="1" ht="25.4" hidden="1" customHeight="1">
      <c r="A30" s="3" t="s">
        <v>174</v>
      </c>
      <c r="B30" s="50" t="s">
        <v>305</v>
      </c>
      <c r="D30" s="26" t="s">
        <v>175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1">
        <f t="shared" si="1"/>
        <v>0</v>
      </c>
      <c r="R30" s="61">
        <f>Q30/'Rooms Summary'!$Q$111</f>
        <v>0</v>
      </c>
      <c r="S30" s="35"/>
      <c r="T30" s="108">
        <f t="shared" si="2"/>
        <v>0</v>
      </c>
    </row>
    <row r="31" spans="1:20" s="3" customFormat="1" ht="25.4" hidden="1" customHeight="1">
      <c r="A31" s="3" t="s">
        <v>176</v>
      </c>
      <c r="B31" s="50" t="s">
        <v>305</v>
      </c>
      <c r="D31" s="26" t="s">
        <v>177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1">
        <f t="shared" si="1"/>
        <v>0</v>
      </c>
      <c r="R31" s="61">
        <f>Q31/'Rooms Summary'!$Q$111</f>
        <v>0</v>
      </c>
      <c r="S31" s="35"/>
      <c r="T31" s="108">
        <f t="shared" si="2"/>
        <v>0</v>
      </c>
    </row>
    <row r="32" spans="1:20" s="3" customFormat="1" ht="25.4" hidden="1" customHeight="1">
      <c r="A32" s="3" t="s">
        <v>178</v>
      </c>
      <c r="B32" s="50" t="s">
        <v>305</v>
      </c>
      <c r="D32" s="26" t="s">
        <v>179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1">
        <f t="shared" si="1"/>
        <v>0</v>
      </c>
      <c r="R32" s="61">
        <f>Q32/'Rooms Summary'!$Q$111</f>
        <v>0</v>
      </c>
      <c r="S32" s="35"/>
      <c r="T32" s="108">
        <f t="shared" si="2"/>
        <v>0</v>
      </c>
    </row>
    <row r="33" spans="1:20" s="3" customFormat="1" ht="25.4" hidden="1" customHeight="1">
      <c r="A33" s="3" t="s">
        <v>180</v>
      </c>
      <c r="B33" s="50" t="s">
        <v>305</v>
      </c>
      <c r="D33" s="26" t="s">
        <v>181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1">
        <f t="shared" si="1"/>
        <v>0</v>
      </c>
      <c r="R33" s="61">
        <f>Q33/'Rooms Summary'!$Q$111</f>
        <v>0</v>
      </c>
      <c r="S33" s="35"/>
      <c r="T33" s="108">
        <f t="shared" si="2"/>
        <v>0</v>
      </c>
    </row>
    <row r="34" spans="1:20" s="3" customFormat="1" ht="25.4" hidden="1" customHeight="1">
      <c r="A34" s="3" t="s">
        <v>182</v>
      </c>
      <c r="B34" s="50" t="s">
        <v>305</v>
      </c>
      <c r="D34" s="26" t="s">
        <v>183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1">
        <f t="shared" si="1"/>
        <v>0</v>
      </c>
      <c r="R34" s="61">
        <f>Q34/'Rooms Summary'!$Q$111</f>
        <v>0</v>
      </c>
      <c r="S34" s="35"/>
      <c r="T34" s="108">
        <f t="shared" si="2"/>
        <v>0</v>
      </c>
    </row>
    <row r="35" spans="1:20" s="3" customFormat="1" ht="25.4" hidden="1" customHeight="1">
      <c r="A35" s="3" t="s">
        <v>184</v>
      </c>
      <c r="B35" s="50" t="s">
        <v>305</v>
      </c>
      <c r="D35" s="26" t="s">
        <v>185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1">
        <f t="shared" si="1"/>
        <v>0</v>
      </c>
      <c r="R35" s="61">
        <f>Q35/'Rooms Summary'!$Q$111</f>
        <v>0</v>
      </c>
      <c r="S35" s="35"/>
      <c r="T35" s="108">
        <f t="shared" si="2"/>
        <v>0</v>
      </c>
    </row>
    <row r="36" spans="1:20" s="3" customFormat="1" ht="25.4" hidden="1" customHeight="1">
      <c r="A36" s="3" t="s">
        <v>186</v>
      </c>
      <c r="B36" s="50" t="s">
        <v>305</v>
      </c>
      <c r="D36" s="26" t="s">
        <v>187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1">
        <f t="shared" si="1"/>
        <v>0</v>
      </c>
      <c r="R36" s="61">
        <f>Q36/'Rooms Summary'!$Q$111</f>
        <v>0</v>
      </c>
      <c r="S36" s="35"/>
      <c r="T36" s="108">
        <f t="shared" si="2"/>
        <v>0</v>
      </c>
    </row>
    <row r="37" spans="1:20" s="3" customFormat="1" ht="25.4" hidden="1" customHeight="1">
      <c r="A37" s="3" t="s">
        <v>188</v>
      </c>
      <c r="B37" s="50" t="s">
        <v>305</v>
      </c>
      <c r="D37" s="26" t="s">
        <v>189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1">
        <f t="shared" si="1"/>
        <v>0</v>
      </c>
      <c r="R37" s="61">
        <f>Q37/'Rooms Summary'!$Q$111</f>
        <v>0</v>
      </c>
      <c r="S37" s="35"/>
      <c r="T37" s="108">
        <f t="shared" si="2"/>
        <v>0</v>
      </c>
    </row>
    <row r="38" spans="1:20" s="3" customFormat="1" ht="25.4" hidden="1" customHeight="1">
      <c r="A38" s="3" t="s">
        <v>190</v>
      </c>
      <c r="B38" s="50" t="s">
        <v>305</v>
      </c>
      <c r="D38" s="26" t="s">
        <v>191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1">
        <f t="shared" si="1"/>
        <v>0</v>
      </c>
      <c r="R38" s="61">
        <f>Q38/'Rooms Summary'!$Q$111</f>
        <v>0</v>
      </c>
      <c r="S38" s="35"/>
      <c r="T38" s="108">
        <f t="shared" si="2"/>
        <v>0</v>
      </c>
    </row>
    <row r="39" spans="1:20" s="3" customFormat="1" ht="25.4" hidden="1" customHeight="1">
      <c r="A39" s="3" t="s">
        <v>192</v>
      </c>
      <c r="B39" s="50" t="s">
        <v>305</v>
      </c>
      <c r="D39" s="26" t="s">
        <v>193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1">
        <f t="shared" si="1"/>
        <v>0</v>
      </c>
      <c r="R39" s="61">
        <f>Q39/'Rooms Summary'!$Q$111</f>
        <v>0</v>
      </c>
      <c r="S39" s="35"/>
      <c r="T39" s="108">
        <f t="shared" si="2"/>
        <v>0</v>
      </c>
    </row>
    <row r="40" spans="1:20" s="3" customFormat="1" ht="25.4" hidden="1" customHeight="1">
      <c r="A40" s="3" t="s">
        <v>194</v>
      </c>
      <c r="B40" s="50" t="s">
        <v>305</v>
      </c>
      <c r="D40" s="26" t="s">
        <v>195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1">
        <f t="shared" si="1"/>
        <v>0</v>
      </c>
      <c r="R40" s="61">
        <f>Q40/'Rooms Summary'!$Q$111</f>
        <v>0</v>
      </c>
      <c r="S40" s="35"/>
      <c r="T40" s="108">
        <f t="shared" si="2"/>
        <v>0</v>
      </c>
    </row>
    <row r="41" spans="1:20" s="3" customFormat="1" ht="25.4" customHeight="1">
      <c r="A41" s="3" t="s">
        <v>196</v>
      </c>
      <c r="B41" s="50" t="s">
        <v>305</v>
      </c>
      <c r="D41" s="26" t="s">
        <v>197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1">
        <f t="shared" si="1"/>
        <v>0</v>
      </c>
      <c r="R41" s="61">
        <f>Q41/'Rooms Summary'!$Q$111</f>
        <v>0</v>
      </c>
      <c r="S41" s="35"/>
      <c r="T41" s="108">
        <f t="shared" si="2"/>
        <v>0</v>
      </c>
    </row>
    <row r="42" spans="1:20" s="3" customFormat="1" ht="25.4" customHeight="1">
      <c r="A42" s="3" t="s">
        <v>198</v>
      </c>
      <c r="B42" s="50" t="s">
        <v>305</v>
      </c>
      <c r="D42" s="361" t="s">
        <v>199</v>
      </c>
      <c r="E42" s="63">
        <f>12*E118</f>
        <v>60</v>
      </c>
      <c r="F42" s="63">
        <f t="shared" ref="F42:P42" si="3">12*F118</f>
        <v>60</v>
      </c>
      <c r="G42" s="63">
        <f t="shared" si="3"/>
        <v>60</v>
      </c>
      <c r="H42" s="63">
        <f t="shared" si="3"/>
        <v>60</v>
      </c>
      <c r="I42" s="63">
        <f t="shared" si="3"/>
        <v>60</v>
      </c>
      <c r="J42" s="63">
        <f t="shared" si="3"/>
        <v>60</v>
      </c>
      <c r="K42" s="63">
        <f t="shared" si="3"/>
        <v>60</v>
      </c>
      <c r="L42" s="63">
        <f t="shared" si="3"/>
        <v>60</v>
      </c>
      <c r="M42" s="63">
        <f t="shared" si="3"/>
        <v>60</v>
      </c>
      <c r="N42" s="63">
        <f t="shared" si="3"/>
        <v>60</v>
      </c>
      <c r="O42" s="63">
        <f t="shared" si="3"/>
        <v>60</v>
      </c>
      <c r="P42" s="63">
        <f t="shared" si="3"/>
        <v>60</v>
      </c>
      <c r="Q42" s="61">
        <f t="shared" si="1"/>
        <v>720</v>
      </c>
      <c r="R42" s="61">
        <f>Q42/'Rooms Summary'!$Q$111</f>
        <v>2.624958985015859E-2</v>
      </c>
      <c r="S42" s="35"/>
      <c r="T42" s="108" t="e">
        <f t="shared" si="2"/>
        <v>#DIV/0!</v>
      </c>
    </row>
    <row r="43" spans="1:20" s="3" customFormat="1" ht="25.4" customHeight="1">
      <c r="A43" s="3" t="s">
        <v>200</v>
      </c>
      <c r="B43" s="50" t="s">
        <v>305</v>
      </c>
      <c r="D43" s="361" t="s">
        <v>201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1">
        <f t="shared" si="1"/>
        <v>0</v>
      </c>
      <c r="R43" s="61">
        <f>Q43/'Rooms Summary'!$Q$111</f>
        <v>0</v>
      </c>
      <c r="S43" s="35"/>
      <c r="T43" s="108">
        <f t="shared" si="2"/>
        <v>0</v>
      </c>
    </row>
    <row r="44" spans="1:20" s="3" customFormat="1" ht="25.4" customHeight="1">
      <c r="A44" s="3" t="s">
        <v>202</v>
      </c>
      <c r="B44" s="50" t="s">
        <v>305</v>
      </c>
      <c r="D44" s="361" t="s">
        <v>203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1">
        <f t="shared" si="1"/>
        <v>0</v>
      </c>
      <c r="R44" s="61">
        <f>Q44/'Rooms Summary'!$Q$111</f>
        <v>0</v>
      </c>
      <c r="S44" s="35"/>
      <c r="T44" s="108">
        <f t="shared" si="2"/>
        <v>0</v>
      </c>
    </row>
    <row r="45" spans="1:20" s="3" customFormat="1" ht="25" hidden="1" customHeight="1">
      <c r="A45" s="3" t="s">
        <v>204</v>
      </c>
      <c r="B45" s="50" t="s">
        <v>305</v>
      </c>
      <c r="D45" s="361" t="s">
        <v>205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1">
        <f t="shared" si="1"/>
        <v>0</v>
      </c>
      <c r="R45" s="61">
        <f>Q45/'Rooms Summary'!$Q$111</f>
        <v>0</v>
      </c>
      <c r="S45" s="35"/>
      <c r="T45" s="108">
        <f t="shared" si="2"/>
        <v>0</v>
      </c>
    </row>
    <row r="46" spans="1:20" s="3" customFormat="1" ht="25.4" hidden="1" customHeight="1">
      <c r="A46" s="3" t="s">
        <v>206</v>
      </c>
      <c r="B46" s="50" t="s">
        <v>305</v>
      </c>
      <c r="D46" s="361" t="s">
        <v>207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>
        <f t="shared" si="1"/>
        <v>0</v>
      </c>
      <c r="R46" s="61">
        <f>Q46/'Rooms Summary'!$Q$111</f>
        <v>0</v>
      </c>
      <c r="S46" s="35"/>
      <c r="T46" s="108">
        <f t="shared" si="2"/>
        <v>0</v>
      </c>
    </row>
    <row r="47" spans="1:20" s="3" customFormat="1" ht="25.4" hidden="1" customHeight="1">
      <c r="A47" s="3" t="s">
        <v>208</v>
      </c>
      <c r="B47" s="50" t="s">
        <v>305</v>
      </c>
      <c r="D47" s="361" t="s">
        <v>209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>
        <f t="shared" si="1"/>
        <v>0</v>
      </c>
      <c r="R47" s="61">
        <f>Q47/'Rooms Summary'!$Q$111</f>
        <v>0</v>
      </c>
      <c r="S47" s="35"/>
      <c r="T47" s="108">
        <f t="shared" si="2"/>
        <v>0</v>
      </c>
    </row>
    <row r="48" spans="1:20" s="3" customFormat="1" ht="25.4" hidden="1" customHeight="1">
      <c r="A48" s="3" t="s">
        <v>210</v>
      </c>
      <c r="B48" s="50" t="s">
        <v>305</v>
      </c>
      <c r="D48" s="361" t="s">
        <v>211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>
        <f t="shared" si="1"/>
        <v>0</v>
      </c>
      <c r="R48" s="61">
        <f>Q48/'Rooms Summary'!$Q$111</f>
        <v>0</v>
      </c>
      <c r="S48" s="35"/>
      <c r="T48" s="108">
        <f t="shared" si="2"/>
        <v>0</v>
      </c>
    </row>
    <row r="49" spans="1:20" s="3" customFormat="1" ht="25.4" hidden="1" customHeight="1">
      <c r="A49" s="3" t="s">
        <v>212</v>
      </c>
      <c r="B49" s="50" t="s">
        <v>305</v>
      </c>
      <c r="D49" s="361" t="s">
        <v>213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1">
        <f t="shared" si="1"/>
        <v>0</v>
      </c>
      <c r="R49" s="61">
        <f>Q49/'Rooms Summary'!$Q$111</f>
        <v>0</v>
      </c>
      <c r="S49" s="35"/>
      <c r="T49" s="108">
        <f t="shared" si="2"/>
        <v>0</v>
      </c>
    </row>
    <row r="50" spans="1:20" s="3" customFormat="1" ht="25.4" hidden="1" customHeight="1">
      <c r="A50" s="3" t="s">
        <v>214</v>
      </c>
      <c r="B50" s="50" t="s">
        <v>305</v>
      </c>
      <c r="D50" s="361" t="s">
        <v>215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>
        <f t="shared" si="1"/>
        <v>0</v>
      </c>
      <c r="R50" s="61">
        <f>Q50/'Rooms Summary'!$Q$111</f>
        <v>0</v>
      </c>
      <c r="S50" s="35"/>
      <c r="T50" s="108">
        <f t="shared" si="2"/>
        <v>0</v>
      </c>
    </row>
    <row r="51" spans="1:20" s="3" customFormat="1" ht="25.4" hidden="1" customHeight="1">
      <c r="A51" s="3" t="s">
        <v>216</v>
      </c>
      <c r="B51" s="50" t="s">
        <v>305</v>
      </c>
      <c r="D51" s="361" t="s">
        <v>217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1">
        <f t="shared" si="1"/>
        <v>0</v>
      </c>
      <c r="R51" s="61">
        <f>Q51/'Rooms Summary'!$Q$111</f>
        <v>0</v>
      </c>
      <c r="S51" s="35"/>
      <c r="T51" s="108">
        <f t="shared" si="2"/>
        <v>0</v>
      </c>
    </row>
    <row r="52" spans="1:20" s="3" customFormat="1" ht="25.4" hidden="1" customHeight="1">
      <c r="A52" s="3" t="s">
        <v>218</v>
      </c>
      <c r="B52" s="50" t="s">
        <v>305</v>
      </c>
      <c r="D52" s="361" t="s">
        <v>219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1">
        <f t="shared" si="1"/>
        <v>0</v>
      </c>
      <c r="R52" s="61">
        <f>Q52/'Rooms Summary'!$Q$111</f>
        <v>0</v>
      </c>
      <c r="S52" s="35"/>
      <c r="T52" s="108">
        <f t="shared" si="2"/>
        <v>0</v>
      </c>
    </row>
    <row r="53" spans="1:20" s="3" customFormat="1" ht="25.4" hidden="1" customHeight="1">
      <c r="A53" s="3" t="s">
        <v>220</v>
      </c>
      <c r="B53" s="50" t="s">
        <v>305</v>
      </c>
      <c r="D53" s="361" t="s">
        <v>221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1">
        <f t="shared" si="1"/>
        <v>0</v>
      </c>
      <c r="R53" s="61">
        <f>Q53/'Rooms Summary'!$Q$111</f>
        <v>0</v>
      </c>
      <c r="S53" s="35"/>
      <c r="T53" s="108">
        <f t="shared" si="2"/>
        <v>0</v>
      </c>
    </row>
    <row r="54" spans="1:20" s="3" customFormat="1" ht="25.4" hidden="1" customHeight="1">
      <c r="A54" s="3" t="s">
        <v>222</v>
      </c>
      <c r="B54" s="50" t="s">
        <v>305</v>
      </c>
      <c r="D54" s="361" t="s">
        <v>223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1">
        <f t="shared" si="1"/>
        <v>0</v>
      </c>
      <c r="R54" s="61">
        <f>Q54/'Rooms Summary'!$Q$111</f>
        <v>0</v>
      </c>
      <c r="S54" s="35"/>
      <c r="T54" s="108">
        <f t="shared" si="2"/>
        <v>0</v>
      </c>
    </row>
    <row r="55" spans="1:20" s="3" customFormat="1" ht="25.4" hidden="1" customHeight="1">
      <c r="A55" s="3" t="s">
        <v>224</v>
      </c>
      <c r="B55" s="50" t="s">
        <v>305</v>
      </c>
      <c r="D55" s="361" t="s">
        <v>225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1">
        <f t="shared" si="1"/>
        <v>0</v>
      </c>
      <c r="R55" s="61">
        <f>Q55/'Rooms Summary'!$Q$111</f>
        <v>0</v>
      </c>
      <c r="S55" s="35"/>
      <c r="T55" s="108">
        <f t="shared" si="2"/>
        <v>0</v>
      </c>
    </row>
    <row r="56" spans="1:20" s="3" customFormat="1" ht="25.4" hidden="1" customHeight="1">
      <c r="A56" s="3" t="s">
        <v>226</v>
      </c>
      <c r="B56" s="50" t="s">
        <v>305</v>
      </c>
      <c r="D56" s="361" t="s">
        <v>227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1">
        <f t="shared" si="1"/>
        <v>0</v>
      </c>
      <c r="R56" s="61">
        <f>Q56/'Rooms Summary'!$Q$111</f>
        <v>0</v>
      </c>
      <c r="S56" s="35"/>
      <c r="T56" s="108">
        <f t="shared" si="2"/>
        <v>0</v>
      </c>
    </row>
    <row r="57" spans="1:20" s="3" customFormat="1" ht="25.4" hidden="1" customHeight="1">
      <c r="A57" s="3" t="s">
        <v>228</v>
      </c>
      <c r="B57" s="50" t="s">
        <v>305</v>
      </c>
      <c r="D57" s="361" t="s">
        <v>229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1">
        <f t="shared" si="1"/>
        <v>0</v>
      </c>
      <c r="R57" s="61">
        <f>Q57/'Rooms Summary'!$Q$111</f>
        <v>0</v>
      </c>
      <c r="S57" s="35"/>
      <c r="T57" s="108">
        <f t="shared" si="2"/>
        <v>0</v>
      </c>
    </row>
    <row r="58" spans="1:20" s="3" customFormat="1" ht="25.4" hidden="1" customHeight="1">
      <c r="A58" s="3" t="s">
        <v>230</v>
      </c>
      <c r="B58" s="50" t="s">
        <v>305</v>
      </c>
      <c r="D58" s="361" t="s">
        <v>231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1">
        <f t="shared" si="1"/>
        <v>0</v>
      </c>
      <c r="R58" s="61">
        <f>Q58/'Rooms Summary'!$Q$111</f>
        <v>0</v>
      </c>
      <c r="S58" s="35"/>
      <c r="T58" s="108">
        <f t="shared" si="2"/>
        <v>0</v>
      </c>
    </row>
    <row r="59" spans="1:20" s="3" customFormat="1" ht="25.4" hidden="1" customHeight="1">
      <c r="A59" s="3" t="s">
        <v>232</v>
      </c>
      <c r="B59" s="50" t="s">
        <v>305</v>
      </c>
      <c r="D59" s="361" t="s">
        <v>233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1">
        <f t="shared" si="1"/>
        <v>0</v>
      </c>
      <c r="R59" s="61">
        <f>Q59/'Rooms Summary'!$Q$111</f>
        <v>0</v>
      </c>
      <c r="S59" s="35"/>
      <c r="T59" s="108">
        <f t="shared" si="2"/>
        <v>0</v>
      </c>
    </row>
    <row r="60" spans="1:20" s="3" customFormat="1" ht="25.4" hidden="1" customHeight="1">
      <c r="A60" s="3" t="s">
        <v>234</v>
      </c>
      <c r="B60" s="50" t="s">
        <v>305</v>
      </c>
      <c r="D60" s="361" t="s">
        <v>235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>
        <f t="shared" si="1"/>
        <v>0</v>
      </c>
      <c r="R60" s="61">
        <f>Q60/'Rooms Summary'!$Q$111</f>
        <v>0</v>
      </c>
      <c r="S60" s="35"/>
      <c r="T60" s="108">
        <f t="shared" si="2"/>
        <v>0</v>
      </c>
    </row>
    <row r="61" spans="1:20" s="3" customFormat="1" ht="25.4" hidden="1" customHeight="1">
      <c r="A61" s="3" t="s">
        <v>236</v>
      </c>
      <c r="B61" s="50" t="s">
        <v>305</v>
      </c>
      <c r="D61" s="361" t="s">
        <v>237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>
        <f t="shared" si="1"/>
        <v>0</v>
      </c>
      <c r="R61" s="61">
        <f>Q61/'Rooms Summary'!$Q$111</f>
        <v>0</v>
      </c>
      <c r="S61" s="35"/>
      <c r="T61" s="108">
        <f t="shared" si="2"/>
        <v>0</v>
      </c>
    </row>
    <row r="62" spans="1:20" s="3" customFormat="1" ht="25.4" hidden="1" customHeight="1">
      <c r="A62" s="3" t="s">
        <v>238</v>
      </c>
      <c r="B62" s="50" t="s">
        <v>305</v>
      </c>
      <c r="D62" s="361" t="s">
        <v>239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>
        <f t="shared" si="1"/>
        <v>0</v>
      </c>
      <c r="R62" s="61">
        <f>Q62/'Rooms Summary'!$Q$111</f>
        <v>0</v>
      </c>
      <c r="S62" s="35"/>
      <c r="T62" s="108">
        <f t="shared" si="2"/>
        <v>0</v>
      </c>
    </row>
    <row r="63" spans="1:20" s="3" customFormat="1" ht="25.4" hidden="1" customHeight="1">
      <c r="A63" s="3" t="s">
        <v>240</v>
      </c>
      <c r="B63" s="50" t="s">
        <v>305</v>
      </c>
      <c r="D63" s="361" t="s">
        <v>241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1">
        <f t="shared" si="1"/>
        <v>0</v>
      </c>
      <c r="R63" s="61">
        <f>Q63/'Rooms Summary'!$Q$111</f>
        <v>0</v>
      </c>
      <c r="S63" s="35"/>
      <c r="T63" s="108">
        <f t="shared" si="2"/>
        <v>0</v>
      </c>
    </row>
    <row r="64" spans="1:20" s="3" customFormat="1" ht="25.4" hidden="1" customHeight="1">
      <c r="A64" s="3" t="s">
        <v>242</v>
      </c>
      <c r="B64" s="50" t="s">
        <v>305</v>
      </c>
      <c r="D64" s="361" t="s">
        <v>243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1">
        <f t="shared" si="1"/>
        <v>0</v>
      </c>
      <c r="R64" s="61">
        <f>Q64/'Rooms Summary'!$Q$111</f>
        <v>0</v>
      </c>
      <c r="S64" s="35"/>
      <c r="T64" s="108">
        <f t="shared" si="2"/>
        <v>0</v>
      </c>
    </row>
    <row r="65" spans="1:20" s="3" customFormat="1" ht="25.4" hidden="1" customHeight="1">
      <c r="A65" s="3" t="s">
        <v>244</v>
      </c>
      <c r="B65" s="50" t="s">
        <v>305</v>
      </c>
      <c r="D65" s="361" t="s">
        <v>245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1">
        <f t="shared" si="1"/>
        <v>0</v>
      </c>
      <c r="R65" s="61">
        <f>Q65/'Rooms Summary'!$Q$111</f>
        <v>0</v>
      </c>
      <c r="S65" s="35"/>
      <c r="T65" s="108">
        <f t="shared" si="2"/>
        <v>0</v>
      </c>
    </row>
    <row r="66" spans="1:20" s="3" customFormat="1" ht="25.4" customHeight="1">
      <c r="A66" s="3" t="s">
        <v>246</v>
      </c>
      <c r="B66" s="50" t="s">
        <v>305</v>
      </c>
      <c r="D66" s="361" t="s">
        <v>247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1">
        <f t="shared" si="1"/>
        <v>0</v>
      </c>
      <c r="R66" s="61">
        <f>Q66/'Rooms Summary'!$Q$111</f>
        <v>0</v>
      </c>
      <c r="S66" s="35"/>
      <c r="T66" s="108">
        <f t="shared" si="2"/>
        <v>0</v>
      </c>
    </row>
    <row r="67" spans="1:20" s="3" customFormat="1" ht="25.4" customHeight="1">
      <c r="A67" s="3" t="s">
        <v>248</v>
      </c>
      <c r="B67" s="50" t="s">
        <v>305</v>
      </c>
      <c r="D67" s="361" t="s">
        <v>249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1">
        <f t="shared" si="1"/>
        <v>0</v>
      </c>
      <c r="R67" s="61">
        <f>Q67/'Rooms Summary'!$Q$111</f>
        <v>0</v>
      </c>
      <c r="S67" s="35"/>
      <c r="T67" s="108">
        <f t="shared" si="2"/>
        <v>0</v>
      </c>
    </row>
    <row r="68" spans="1:20" s="3" customFormat="1" ht="25.4" customHeight="1">
      <c r="A68" s="3" t="s">
        <v>250</v>
      </c>
      <c r="B68" s="50" t="s">
        <v>305</v>
      </c>
      <c r="D68" s="361" t="s">
        <v>251</v>
      </c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1">
        <f t="shared" si="1"/>
        <v>0</v>
      </c>
      <c r="R68" s="61">
        <f>Q68/'Rooms Summary'!$Q$111</f>
        <v>0</v>
      </c>
      <c r="S68" s="35"/>
      <c r="T68" s="108">
        <f t="shared" si="2"/>
        <v>0</v>
      </c>
    </row>
    <row r="69" spans="1:20" s="3" customFormat="1" ht="25.4" customHeight="1">
      <c r="A69" s="3" t="s">
        <v>252</v>
      </c>
      <c r="B69" s="50" t="s">
        <v>305</v>
      </c>
      <c r="D69" s="26" t="s">
        <v>253</v>
      </c>
      <c r="E69" s="63">
        <v>1461.5</v>
      </c>
      <c r="F69" s="63">
        <v>1285.1499999999999</v>
      </c>
      <c r="G69" s="63">
        <v>1252.05</v>
      </c>
      <c r="H69" s="63">
        <v>1283.8</v>
      </c>
      <c r="I69" s="63">
        <v>1264.25</v>
      </c>
      <c r="J69" s="63">
        <v>1164.4000000000001</v>
      </c>
      <c r="K69" s="63">
        <v>1131.6500000000001</v>
      </c>
      <c r="L69" s="63">
        <v>1135.6500000000001</v>
      </c>
      <c r="M69" s="63">
        <v>1158.95</v>
      </c>
      <c r="N69" s="63">
        <v>1253.6499999999999</v>
      </c>
      <c r="O69" s="63">
        <v>1123.55</v>
      </c>
      <c r="P69" s="63">
        <v>1112</v>
      </c>
      <c r="Q69" s="61">
        <f t="shared" si="1"/>
        <v>14626.599999999999</v>
      </c>
      <c r="R69" s="61">
        <f>Q69/'Rooms Summary'!$Q$111</f>
        <v>0.53325312625323562</v>
      </c>
      <c r="S69" s="35"/>
      <c r="T69" s="108" t="e">
        <f t="shared" si="2"/>
        <v>#DIV/0!</v>
      </c>
    </row>
    <row r="70" spans="1:20" s="3" customFormat="1" ht="25.4" customHeight="1">
      <c r="A70" s="3" t="s">
        <v>254</v>
      </c>
      <c r="B70" s="50" t="s">
        <v>305</v>
      </c>
      <c r="D70" s="26" t="s">
        <v>255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1">
        <f t="shared" si="1"/>
        <v>0</v>
      </c>
      <c r="R70" s="61">
        <f>Q70/'Rooms Summary'!$Q$111</f>
        <v>0</v>
      </c>
      <c r="S70" s="35"/>
      <c r="T70" s="108">
        <f t="shared" si="2"/>
        <v>0</v>
      </c>
    </row>
    <row r="71" spans="1:20" s="3" customFormat="1" ht="25.4" customHeight="1">
      <c r="A71" s="3" t="s">
        <v>256</v>
      </c>
      <c r="B71" s="50" t="s">
        <v>305</v>
      </c>
      <c r="D71" s="26" t="s">
        <v>257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1">
        <f t="shared" si="1"/>
        <v>0</v>
      </c>
      <c r="R71" s="61">
        <f>Q71/'Rooms Summary'!$Q$111</f>
        <v>0</v>
      </c>
      <c r="S71" s="35"/>
      <c r="T71" s="108">
        <f t="shared" si="2"/>
        <v>0</v>
      </c>
    </row>
    <row r="72" spans="1:20" s="3" customFormat="1" ht="25.4" customHeight="1">
      <c r="A72" s="3" t="s">
        <v>258</v>
      </c>
      <c r="B72" s="50" t="s">
        <v>305</v>
      </c>
      <c r="D72" s="26" t="s">
        <v>259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1">
        <f t="shared" si="1"/>
        <v>0</v>
      </c>
      <c r="R72" s="61">
        <f>Q72/'Rooms Summary'!$Q$111</f>
        <v>0</v>
      </c>
      <c r="S72" s="35"/>
      <c r="T72" s="108">
        <f t="shared" si="2"/>
        <v>0</v>
      </c>
    </row>
    <row r="73" spans="1:20" s="3" customFormat="1" ht="25.4" customHeight="1">
      <c r="A73" s="3" t="s">
        <v>260</v>
      </c>
      <c r="B73" s="50" t="s">
        <v>305</v>
      </c>
      <c r="D73" s="26" t="s">
        <v>261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1">
        <f t="shared" si="1"/>
        <v>0</v>
      </c>
      <c r="R73" s="61">
        <f>Q73/'Rooms Summary'!$Q$111</f>
        <v>0</v>
      </c>
      <c r="S73" s="35"/>
      <c r="T73" s="108">
        <f t="shared" si="2"/>
        <v>0</v>
      </c>
    </row>
    <row r="74" spans="1:20" s="3" customFormat="1" ht="25.4" customHeight="1">
      <c r="A74" s="3" t="s">
        <v>262</v>
      </c>
      <c r="B74" s="50" t="s">
        <v>305</v>
      </c>
      <c r="D74" s="26" t="s">
        <v>263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1">
        <f t="shared" si="1"/>
        <v>0</v>
      </c>
      <c r="R74" s="61">
        <f>Q74/'Rooms Summary'!$Q$111</f>
        <v>0</v>
      </c>
      <c r="S74" s="35"/>
      <c r="T74" s="108">
        <f t="shared" si="2"/>
        <v>0</v>
      </c>
    </row>
    <row r="75" spans="1:20" s="3" customFormat="1" ht="25.4" customHeight="1">
      <c r="A75" s="3" t="s">
        <v>264</v>
      </c>
      <c r="B75" s="50" t="s">
        <v>305</v>
      </c>
      <c r="D75" s="26" t="s">
        <v>265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1">
        <f t="shared" si="1"/>
        <v>0</v>
      </c>
      <c r="R75" s="61">
        <f>Q75/'Rooms Summary'!$Q$111</f>
        <v>0</v>
      </c>
      <c r="S75" s="35"/>
      <c r="T75" s="108">
        <f t="shared" si="2"/>
        <v>0</v>
      </c>
    </row>
    <row r="76" spans="1:20" s="3" customFormat="1" ht="25.4" customHeight="1">
      <c r="A76" s="3" t="s">
        <v>266</v>
      </c>
      <c r="B76" s="50" t="s">
        <v>305</v>
      </c>
      <c r="D76" s="26" t="s">
        <v>267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1">
        <f t="shared" si="1"/>
        <v>0</v>
      </c>
      <c r="R76" s="61">
        <f>Q76/'Rooms Summary'!$Q$111</f>
        <v>0</v>
      </c>
      <c r="S76" s="35"/>
      <c r="T76" s="108">
        <f t="shared" si="2"/>
        <v>0</v>
      </c>
    </row>
    <row r="77" spans="1:20" s="3" customFormat="1" ht="25.4" customHeight="1">
      <c r="A77" s="3" t="s">
        <v>268</v>
      </c>
      <c r="B77" s="50" t="s">
        <v>305</v>
      </c>
      <c r="D77" s="26" t="s">
        <v>269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1">
        <f t="shared" si="1"/>
        <v>0</v>
      </c>
      <c r="R77" s="61">
        <f>Q77/'Rooms Summary'!$Q$111</f>
        <v>0</v>
      </c>
      <c r="S77" s="35"/>
      <c r="T77" s="108">
        <f t="shared" si="2"/>
        <v>0</v>
      </c>
    </row>
    <row r="78" spans="1:20" s="3" customFormat="1" ht="25.4" customHeight="1">
      <c r="A78" s="3" t="s">
        <v>270</v>
      </c>
      <c r="B78" s="50" t="s">
        <v>305</v>
      </c>
      <c r="D78" s="26" t="s">
        <v>271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1">
        <f t="shared" si="1"/>
        <v>0</v>
      </c>
      <c r="R78" s="61">
        <f>Q78/'Rooms Summary'!$Q$111</f>
        <v>0</v>
      </c>
      <c r="S78" s="35"/>
      <c r="T78" s="108">
        <f t="shared" si="2"/>
        <v>0</v>
      </c>
    </row>
    <row r="79" spans="1:20" s="3" customFormat="1" ht="25.4" customHeight="1">
      <c r="A79" s="3" t="s">
        <v>272</v>
      </c>
      <c r="B79" s="50" t="s">
        <v>305</v>
      </c>
      <c r="D79" s="26" t="s">
        <v>273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1">
        <f>SUM(E79:P79)</f>
        <v>0</v>
      </c>
      <c r="R79" s="61">
        <f>Q79/'Rooms Summary'!$Q$111</f>
        <v>0</v>
      </c>
      <c r="S79" s="35"/>
      <c r="T79" s="108">
        <f t="shared" ref="T79:T82" si="4">-IF(Q79-S79=0,0,(Q79-S79)/S79)</f>
        <v>0</v>
      </c>
    </row>
    <row r="80" spans="1:20" s="3" customFormat="1" ht="25.4" customHeight="1">
      <c r="A80" s="3" t="s">
        <v>274</v>
      </c>
      <c r="B80" s="50" t="s">
        <v>305</v>
      </c>
      <c r="D80" s="26" t="s">
        <v>275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1">
        <f>SUM(E80:P80)</f>
        <v>0</v>
      </c>
      <c r="R80" s="61">
        <f>Q80/'Rooms Summary'!$Q$111</f>
        <v>0</v>
      </c>
      <c r="S80" s="35"/>
      <c r="T80" s="108">
        <f t="shared" si="4"/>
        <v>0</v>
      </c>
    </row>
    <row r="81" spans="1:20" s="3" customFormat="1" ht="25.4" customHeight="1">
      <c r="D81" s="19" t="s">
        <v>276</v>
      </c>
      <c r="E81" s="151">
        <f>SUM(E14:E80)</f>
        <v>1521.5</v>
      </c>
      <c r="F81" s="151">
        <f t="shared" ref="F81:Q81" si="5">SUM(F14:F80)</f>
        <v>1345.1499999999999</v>
      </c>
      <c r="G81" s="151">
        <f t="shared" si="5"/>
        <v>1312.05</v>
      </c>
      <c r="H81" s="151">
        <f t="shared" si="5"/>
        <v>1343.8</v>
      </c>
      <c r="I81" s="151">
        <f t="shared" si="5"/>
        <v>1324.25</v>
      </c>
      <c r="J81" s="151">
        <f t="shared" si="5"/>
        <v>1224.4000000000001</v>
      </c>
      <c r="K81" s="151">
        <f t="shared" si="5"/>
        <v>1191.6500000000001</v>
      </c>
      <c r="L81" s="151">
        <f t="shared" si="5"/>
        <v>1195.6500000000001</v>
      </c>
      <c r="M81" s="151">
        <f t="shared" si="5"/>
        <v>1218.95</v>
      </c>
      <c r="N81" s="151">
        <f t="shared" si="5"/>
        <v>1313.6499999999999</v>
      </c>
      <c r="O81" s="151">
        <f t="shared" si="5"/>
        <v>1183.55</v>
      </c>
      <c r="P81" s="151">
        <f t="shared" si="5"/>
        <v>1172</v>
      </c>
      <c r="Q81" s="151">
        <f t="shared" si="5"/>
        <v>15346.599999999999</v>
      </c>
      <c r="R81" s="61">
        <f>Q81/'Rooms Summary'!$Q$111</f>
        <v>0.55950271610339419</v>
      </c>
      <c r="S81" s="35"/>
      <c r="T81" s="40" t="e">
        <f t="shared" si="4"/>
        <v>#DIV/0!</v>
      </c>
    </row>
    <row r="82" spans="1:20" s="3" customFormat="1" ht="25.4" customHeight="1">
      <c r="D82" s="19" t="s">
        <v>357</v>
      </c>
      <c r="E82" s="151">
        <f>E81+E11</f>
        <v>45854.29</v>
      </c>
      <c r="F82" s="151">
        <f t="shared" ref="F82:Q82" si="6">F81+F11</f>
        <v>41049.65</v>
      </c>
      <c r="G82" s="151">
        <f t="shared" si="6"/>
        <v>40841.950000000004</v>
      </c>
      <c r="H82" s="151">
        <f t="shared" si="6"/>
        <v>42280.24</v>
      </c>
      <c r="I82" s="151">
        <f t="shared" si="6"/>
        <v>43036.78</v>
      </c>
      <c r="J82" s="151">
        <f t="shared" si="6"/>
        <v>40506.25</v>
      </c>
      <c r="K82" s="151">
        <f t="shared" si="6"/>
        <v>40402.6</v>
      </c>
      <c r="L82" s="151">
        <f t="shared" si="6"/>
        <v>40415.550000000003</v>
      </c>
      <c r="M82" s="151">
        <f t="shared" si="6"/>
        <v>40446.699999999997</v>
      </c>
      <c r="N82" s="151">
        <f t="shared" si="6"/>
        <v>45200.54</v>
      </c>
      <c r="O82" s="151">
        <f t="shared" si="6"/>
        <v>40369.400000000009</v>
      </c>
      <c r="P82" s="151">
        <f t="shared" si="6"/>
        <v>40336.199999999997</v>
      </c>
      <c r="Q82" s="151">
        <f t="shared" si="6"/>
        <v>500740.15000000008</v>
      </c>
      <c r="R82" s="61">
        <f>Q82/'Rooms Summary'!$Q$111</f>
        <v>18.255866054176241</v>
      </c>
      <c r="S82" s="35"/>
      <c r="T82" s="40" t="e">
        <f t="shared" si="4"/>
        <v>#DIV/0!</v>
      </c>
    </row>
    <row r="83" spans="1:20" s="3" customFormat="1" ht="25.4" customHeight="1">
      <c r="L83" s="152"/>
      <c r="S83" s="35"/>
      <c r="T83" s="108"/>
    </row>
    <row r="84" spans="1:20" s="3" customFormat="1" ht="25.4" customHeight="1">
      <c r="D84" s="19" t="s">
        <v>295</v>
      </c>
      <c r="L84" s="152"/>
      <c r="S84" s="35"/>
      <c r="T84" s="108"/>
    </row>
    <row r="85" spans="1:20" s="3" customFormat="1" ht="25.4" customHeight="1">
      <c r="D85" s="19" t="s">
        <v>296</v>
      </c>
      <c r="L85" s="152"/>
      <c r="S85" s="35"/>
      <c r="T85" s="108"/>
    </row>
    <row r="86" spans="1:20" s="3" customFormat="1" ht="25.4" customHeight="1">
      <c r="A86" s="3" t="s">
        <v>297</v>
      </c>
      <c r="B86" s="69" t="s">
        <v>305</v>
      </c>
      <c r="D86" s="3" t="s">
        <v>299</v>
      </c>
      <c r="E86" s="61">
        <v>8000</v>
      </c>
      <c r="F86" s="61">
        <v>8000</v>
      </c>
      <c r="G86" s="61">
        <v>8000</v>
      </c>
      <c r="H86" s="61">
        <v>8000</v>
      </c>
      <c r="I86" s="61">
        <v>8000</v>
      </c>
      <c r="J86" s="61">
        <v>8000</v>
      </c>
      <c r="K86" s="61">
        <v>8000</v>
      </c>
      <c r="L86" s="61">
        <v>8000</v>
      </c>
      <c r="M86" s="61">
        <v>8000</v>
      </c>
      <c r="N86" s="61">
        <v>8000</v>
      </c>
      <c r="O86" s="61">
        <v>8000</v>
      </c>
      <c r="P86" s="61">
        <v>8000</v>
      </c>
      <c r="Q86" s="61">
        <f>SUM(E86:P86)</f>
        <v>96000</v>
      </c>
      <c r="R86" s="61">
        <f>Q86/'Rooms Summary'!$Q$111</f>
        <v>3.4999453133544787</v>
      </c>
      <c r="S86" s="35"/>
      <c r="T86" s="40" t="e">
        <f>-IF(Q86-S86=0,0,(Q86-S86)/S86)</f>
        <v>#DIV/0!</v>
      </c>
    </row>
    <row r="87" spans="1:20" s="3" customFormat="1" ht="25.4" customHeight="1">
      <c r="A87" s="50" t="s">
        <v>300</v>
      </c>
      <c r="B87" s="69" t="s">
        <v>305</v>
      </c>
      <c r="D87" s="3" t="s">
        <v>361</v>
      </c>
      <c r="E87" s="61">
        <v>16800</v>
      </c>
      <c r="F87" s="61">
        <v>16800</v>
      </c>
      <c r="G87" s="61">
        <v>16800</v>
      </c>
      <c r="H87" s="61">
        <v>16800</v>
      </c>
      <c r="I87" s="61">
        <v>16800</v>
      </c>
      <c r="J87" s="61">
        <v>16800</v>
      </c>
      <c r="K87" s="61">
        <v>16800</v>
      </c>
      <c r="L87" s="61">
        <v>16800</v>
      </c>
      <c r="M87" s="61">
        <v>16800</v>
      </c>
      <c r="N87" s="61">
        <v>16800</v>
      </c>
      <c r="O87" s="61">
        <v>16800</v>
      </c>
      <c r="P87" s="61">
        <v>16800</v>
      </c>
      <c r="Q87" s="61">
        <f>SUM(E87:P87)</f>
        <v>201600</v>
      </c>
      <c r="R87" s="61">
        <f>Q87/'Rooms Summary'!$Q$111</f>
        <v>7.3498851580444056</v>
      </c>
      <c r="S87" s="35"/>
      <c r="T87" s="40" t="e">
        <f t="shared" ref="T87:T105" si="7">-IF(Q87-S87=0,0,(Q87-S87)/S87)</f>
        <v>#DIV/0!</v>
      </c>
    </row>
    <row r="88" spans="1:20" s="3" customFormat="1" ht="25.4" customHeight="1">
      <c r="D88" s="19" t="s">
        <v>307</v>
      </c>
      <c r="E88" s="151">
        <f t="shared" ref="E88:Q88" si="8">SUM(E86:E87)</f>
        <v>24800</v>
      </c>
      <c r="F88" s="151">
        <f t="shared" si="8"/>
        <v>24800</v>
      </c>
      <c r="G88" s="151">
        <f t="shared" si="8"/>
        <v>24800</v>
      </c>
      <c r="H88" s="151">
        <f t="shared" si="8"/>
        <v>24800</v>
      </c>
      <c r="I88" s="151">
        <f t="shared" si="8"/>
        <v>24800</v>
      </c>
      <c r="J88" s="151">
        <f t="shared" si="8"/>
        <v>24800</v>
      </c>
      <c r="K88" s="151">
        <f t="shared" si="8"/>
        <v>24800</v>
      </c>
      <c r="L88" s="151">
        <f t="shared" si="8"/>
        <v>24800</v>
      </c>
      <c r="M88" s="151">
        <f t="shared" si="8"/>
        <v>24800</v>
      </c>
      <c r="N88" s="151">
        <f t="shared" si="8"/>
        <v>24800</v>
      </c>
      <c r="O88" s="151">
        <f t="shared" si="8"/>
        <v>24800</v>
      </c>
      <c r="P88" s="151">
        <f t="shared" si="8"/>
        <v>24800</v>
      </c>
      <c r="Q88" s="151">
        <f t="shared" si="8"/>
        <v>297600</v>
      </c>
      <c r="R88" s="61">
        <f>Q88/'Rooms Summary'!$Q$111</f>
        <v>10.849830471398885</v>
      </c>
      <c r="S88" s="35"/>
      <c r="T88" s="40" t="e">
        <f t="shared" si="7"/>
        <v>#DIV/0!</v>
      </c>
    </row>
    <row r="89" spans="1:20" s="3" customFormat="1" ht="25.4" customHeight="1">
      <c r="L89" s="152"/>
      <c r="S89" s="35"/>
      <c r="T89" s="108"/>
    </row>
    <row r="90" spans="1:20" s="3" customFormat="1" ht="25.4" customHeight="1">
      <c r="A90" s="3" t="s">
        <v>308</v>
      </c>
      <c r="B90" s="50" t="s">
        <v>305</v>
      </c>
      <c r="D90" s="26" t="s">
        <v>309</v>
      </c>
      <c r="E90" s="61">
        <v>4634.49</v>
      </c>
      <c r="F90" s="61">
        <v>0</v>
      </c>
      <c r="G90" s="61">
        <v>0</v>
      </c>
      <c r="H90" s="61">
        <v>1390.34</v>
      </c>
      <c r="I90" s="61">
        <v>2317.23</v>
      </c>
      <c r="J90" s="61">
        <v>0</v>
      </c>
      <c r="K90" s="61">
        <v>0</v>
      </c>
      <c r="L90" s="61">
        <v>0</v>
      </c>
      <c r="M90" s="61">
        <v>0</v>
      </c>
      <c r="N90" s="61">
        <v>4634.49</v>
      </c>
      <c r="O90" s="61">
        <v>0</v>
      </c>
      <c r="P90" s="61">
        <v>0</v>
      </c>
      <c r="Q90" s="61">
        <f>SUM(E90:P90)</f>
        <v>12976.55</v>
      </c>
      <c r="R90" s="61">
        <f>Q90/'Rooms Summary'!$Q$111</f>
        <v>0.47309599329177143</v>
      </c>
      <c r="S90" s="35"/>
      <c r="T90" s="40" t="e">
        <f t="shared" si="7"/>
        <v>#DIV/0!</v>
      </c>
    </row>
    <row r="91" spans="1:20" s="3" customFormat="1" ht="25.4" customHeight="1">
      <c r="A91" s="3" t="s">
        <v>310</v>
      </c>
      <c r="B91" s="50" t="s">
        <v>305</v>
      </c>
      <c r="D91" s="26" t="s">
        <v>311</v>
      </c>
      <c r="E91" s="61">
        <v>310</v>
      </c>
      <c r="F91" s="61">
        <v>310</v>
      </c>
      <c r="G91" s="61">
        <v>310</v>
      </c>
      <c r="H91" s="61">
        <v>310</v>
      </c>
      <c r="I91" s="61">
        <v>310</v>
      </c>
      <c r="J91" s="61">
        <v>310</v>
      </c>
      <c r="K91" s="61">
        <v>310</v>
      </c>
      <c r="L91" s="61">
        <v>310</v>
      </c>
      <c r="M91" s="61">
        <v>310</v>
      </c>
      <c r="N91" s="61">
        <v>310</v>
      </c>
      <c r="O91" s="61">
        <v>310</v>
      </c>
      <c r="P91" s="61">
        <v>310</v>
      </c>
      <c r="Q91" s="61">
        <f>SUM(E91:P91)</f>
        <v>3720</v>
      </c>
      <c r="R91" s="61">
        <f>Q91/'Rooms Summary'!$Q$111</f>
        <v>0.13562288089248606</v>
      </c>
      <c r="S91" s="35"/>
      <c r="T91" s="40" t="e">
        <f t="shared" si="7"/>
        <v>#DIV/0!</v>
      </c>
    </row>
    <row r="92" spans="1:20" s="3" customFormat="1" ht="25.4" customHeight="1">
      <c r="A92" s="3" t="s">
        <v>312</v>
      </c>
      <c r="B92" s="50" t="s">
        <v>305</v>
      </c>
      <c r="D92" s="26" t="s">
        <v>313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f>SUM(E92:P92)</f>
        <v>0</v>
      </c>
      <c r="R92" s="61">
        <f>Q92/'Rooms Summary'!$Q$111</f>
        <v>0</v>
      </c>
      <c r="S92" s="35"/>
      <c r="T92" s="40">
        <f t="shared" si="7"/>
        <v>0</v>
      </c>
    </row>
    <row r="93" spans="1:20" s="3" customFormat="1" ht="25.4" customHeight="1">
      <c r="A93" s="3" t="s">
        <v>314</v>
      </c>
      <c r="B93" s="50" t="s">
        <v>305</v>
      </c>
      <c r="D93" s="26" t="s">
        <v>315</v>
      </c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>
        <f>SUM(E93:P93)</f>
        <v>0</v>
      </c>
      <c r="R93" s="61">
        <f>Q93/'Rooms Summary'!$Q$111</f>
        <v>0</v>
      </c>
      <c r="S93" s="35"/>
      <c r="T93" s="40">
        <f t="shared" si="7"/>
        <v>0</v>
      </c>
    </row>
    <row r="94" spans="1:20" s="3" customFormat="1" ht="25.4" customHeight="1">
      <c r="A94" s="3" t="s">
        <v>316</v>
      </c>
      <c r="B94" s="50" t="s">
        <v>305</v>
      </c>
      <c r="D94" s="26" t="s">
        <v>317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f>SUM(E94:P94)</f>
        <v>0</v>
      </c>
      <c r="R94" s="61">
        <f>Q94/'Rooms Summary'!$Q$111</f>
        <v>0</v>
      </c>
      <c r="S94" s="35"/>
      <c r="T94" s="40">
        <f t="shared" si="7"/>
        <v>0</v>
      </c>
    </row>
    <row r="95" spans="1:20" s="3" customFormat="1" ht="25.4" customHeight="1">
      <c r="D95" s="19" t="s">
        <v>318</v>
      </c>
      <c r="E95" s="151">
        <f>SUM(E90:E94)</f>
        <v>4944.49</v>
      </c>
      <c r="F95" s="151">
        <f t="shared" ref="F95:Q95" si="9">SUM(F90:F94)</f>
        <v>310</v>
      </c>
      <c r="G95" s="151">
        <f t="shared" si="9"/>
        <v>310</v>
      </c>
      <c r="H95" s="151">
        <f t="shared" si="9"/>
        <v>1700.34</v>
      </c>
      <c r="I95" s="151">
        <f t="shared" si="9"/>
        <v>2627.23</v>
      </c>
      <c r="J95" s="151">
        <f t="shared" si="9"/>
        <v>310</v>
      </c>
      <c r="K95" s="151">
        <f t="shared" si="9"/>
        <v>310</v>
      </c>
      <c r="L95" s="151">
        <f t="shared" si="9"/>
        <v>310</v>
      </c>
      <c r="M95" s="151">
        <f t="shared" si="9"/>
        <v>310</v>
      </c>
      <c r="N95" s="151">
        <f t="shared" si="9"/>
        <v>4944.49</v>
      </c>
      <c r="O95" s="151">
        <f t="shared" si="9"/>
        <v>310</v>
      </c>
      <c r="P95" s="151">
        <f t="shared" si="9"/>
        <v>310</v>
      </c>
      <c r="Q95" s="151">
        <f t="shared" si="9"/>
        <v>16696.55</v>
      </c>
      <c r="R95" s="61">
        <f>Q95/'Rooms Summary'!$Q$111</f>
        <v>0.60871887418425752</v>
      </c>
      <c r="S95" s="35"/>
      <c r="T95" s="40" t="e">
        <f t="shared" si="7"/>
        <v>#DIV/0!</v>
      </c>
    </row>
    <row r="96" spans="1:20" s="3" customFormat="1" ht="25.4" customHeight="1">
      <c r="L96" s="152"/>
      <c r="S96" s="35"/>
      <c r="T96" s="108"/>
    </row>
    <row r="97" spans="1:20" s="3" customFormat="1" ht="25.4" customHeight="1">
      <c r="A97" s="3" t="s">
        <v>319</v>
      </c>
      <c r="B97" s="50" t="s">
        <v>305</v>
      </c>
      <c r="D97" s="26" t="s">
        <v>320</v>
      </c>
      <c r="E97" s="61">
        <v>3433.8</v>
      </c>
      <c r="F97" s="61">
        <v>3433.8</v>
      </c>
      <c r="G97" s="61">
        <v>3433.8</v>
      </c>
      <c r="H97" s="61">
        <v>3433.8</v>
      </c>
      <c r="I97" s="61">
        <v>3433.8</v>
      </c>
      <c r="J97" s="61">
        <v>3433.8</v>
      </c>
      <c r="K97" s="61">
        <v>3433.8</v>
      </c>
      <c r="L97" s="61">
        <v>3433.8</v>
      </c>
      <c r="M97" s="61">
        <v>3433.8</v>
      </c>
      <c r="N97" s="61">
        <v>3433.8</v>
      </c>
      <c r="O97" s="61">
        <v>3433.8</v>
      </c>
      <c r="P97" s="61">
        <v>3433.8</v>
      </c>
      <c r="Q97" s="61">
        <f t="shared" ref="Q97:Q104" si="10">SUM(E97:P97)</f>
        <v>41205.600000000006</v>
      </c>
      <c r="R97" s="61">
        <f>Q97/'Rooms Summary'!$Q$111</f>
        <v>1.5022640271245764</v>
      </c>
      <c r="S97" s="35"/>
      <c r="T97" s="40" t="e">
        <f t="shared" si="7"/>
        <v>#DIV/0!</v>
      </c>
    </row>
    <row r="98" spans="1:20" s="3" customFormat="1" ht="25.4" customHeight="1">
      <c r="A98" s="3" t="s">
        <v>321</v>
      </c>
      <c r="B98" s="50" t="s">
        <v>305</v>
      </c>
      <c r="D98" s="26" t="s">
        <v>322</v>
      </c>
      <c r="E98" s="61">
        <v>1308</v>
      </c>
      <c r="F98" s="61">
        <v>1308</v>
      </c>
      <c r="G98" s="61">
        <v>1308</v>
      </c>
      <c r="H98" s="61">
        <v>1308</v>
      </c>
      <c r="I98" s="61">
        <v>1308</v>
      </c>
      <c r="J98" s="61">
        <v>1308</v>
      </c>
      <c r="K98" s="61">
        <v>1308</v>
      </c>
      <c r="L98" s="61">
        <v>1308</v>
      </c>
      <c r="M98" s="61">
        <v>1308</v>
      </c>
      <c r="N98" s="61">
        <v>1308</v>
      </c>
      <c r="O98" s="61">
        <v>1308</v>
      </c>
      <c r="P98" s="61">
        <v>1308</v>
      </c>
      <c r="Q98" s="61">
        <f t="shared" si="10"/>
        <v>15696</v>
      </c>
      <c r="R98" s="61">
        <f>Q98/'Rooms Summary'!$Q$111</f>
        <v>0.57224105873345732</v>
      </c>
      <c r="S98" s="35"/>
      <c r="T98" s="40" t="e">
        <f t="shared" si="7"/>
        <v>#DIV/0!</v>
      </c>
    </row>
    <row r="99" spans="1:20" s="3" customFormat="1" ht="25.4" customHeight="1">
      <c r="A99" s="3" t="s">
        <v>323</v>
      </c>
      <c r="B99" s="50" t="s">
        <v>305</v>
      </c>
      <c r="D99" s="26" t="s">
        <v>324</v>
      </c>
      <c r="E99" s="61">
        <v>174.4</v>
      </c>
      <c r="F99" s="61">
        <v>174.4</v>
      </c>
      <c r="G99" s="61">
        <v>174.4</v>
      </c>
      <c r="H99" s="61">
        <v>174.4</v>
      </c>
      <c r="I99" s="61">
        <v>174.4</v>
      </c>
      <c r="J99" s="61">
        <v>174.4</v>
      </c>
      <c r="K99" s="61">
        <v>174.4</v>
      </c>
      <c r="L99" s="61">
        <v>174.4</v>
      </c>
      <c r="M99" s="61">
        <v>174.4</v>
      </c>
      <c r="N99" s="61">
        <v>174.4</v>
      </c>
      <c r="O99" s="61">
        <v>174.4</v>
      </c>
      <c r="P99" s="61">
        <v>174.4</v>
      </c>
      <c r="Q99" s="61">
        <f t="shared" si="10"/>
        <v>2092.8000000000006</v>
      </c>
      <c r="R99" s="61">
        <f>Q99/'Rooms Summary'!$Q$111</f>
        <v>7.6298807831127663E-2</v>
      </c>
      <c r="S99" s="35"/>
      <c r="T99" s="40" t="e">
        <f t="shared" si="7"/>
        <v>#DIV/0!</v>
      </c>
    </row>
    <row r="100" spans="1:20" s="3" customFormat="1" ht="25.4" customHeight="1">
      <c r="A100" s="3" t="s">
        <v>325</v>
      </c>
      <c r="B100" s="50" t="s">
        <v>305</v>
      </c>
      <c r="D100" s="26" t="s">
        <v>326</v>
      </c>
      <c r="E100" s="61">
        <v>87.2</v>
      </c>
      <c r="F100" s="61">
        <v>87.2</v>
      </c>
      <c r="G100" s="61">
        <v>87.2</v>
      </c>
      <c r="H100" s="61">
        <v>87.2</v>
      </c>
      <c r="I100" s="61">
        <v>87.2</v>
      </c>
      <c r="J100" s="61">
        <v>87.2</v>
      </c>
      <c r="K100" s="61">
        <v>87.2</v>
      </c>
      <c r="L100" s="61">
        <v>87.2</v>
      </c>
      <c r="M100" s="61">
        <v>87.2</v>
      </c>
      <c r="N100" s="61">
        <v>87.2</v>
      </c>
      <c r="O100" s="61">
        <v>87.2</v>
      </c>
      <c r="P100" s="61">
        <v>87.2</v>
      </c>
      <c r="Q100" s="61">
        <f t="shared" si="10"/>
        <v>1046.4000000000003</v>
      </c>
      <c r="R100" s="61">
        <f>Q100/'Rooms Summary'!$Q$111</f>
        <v>3.8149403915563831E-2</v>
      </c>
      <c r="S100" s="35"/>
      <c r="T100" s="40" t="e">
        <f t="shared" si="7"/>
        <v>#DIV/0!</v>
      </c>
    </row>
    <row r="101" spans="1:20" s="3" customFormat="1" ht="25.4" customHeight="1">
      <c r="A101" s="3" t="s">
        <v>327</v>
      </c>
      <c r="B101" s="50" t="s">
        <v>305</v>
      </c>
      <c r="D101" s="26" t="s">
        <v>328</v>
      </c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>
        <f t="shared" si="10"/>
        <v>0</v>
      </c>
      <c r="R101" s="61">
        <f>Q101/'Rooms Summary'!$Q$111</f>
        <v>0</v>
      </c>
      <c r="S101" s="35"/>
      <c r="T101" s="40">
        <f t="shared" si="7"/>
        <v>0</v>
      </c>
    </row>
    <row r="102" spans="1:20" s="3" customFormat="1" ht="25.4" customHeight="1">
      <c r="A102" s="3" t="s">
        <v>329</v>
      </c>
      <c r="B102" s="50" t="s">
        <v>305</v>
      </c>
      <c r="D102" s="26" t="s">
        <v>330</v>
      </c>
      <c r="E102" s="61">
        <v>1744</v>
      </c>
      <c r="F102" s="61">
        <v>1744</v>
      </c>
      <c r="G102" s="61">
        <v>1744</v>
      </c>
      <c r="H102" s="61">
        <v>1744</v>
      </c>
      <c r="I102" s="61">
        <v>1744</v>
      </c>
      <c r="J102" s="61">
        <v>1744</v>
      </c>
      <c r="K102" s="61">
        <v>1744</v>
      </c>
      <c r="L102" s="61">
        <v>1744</v>
      </c>
      <c r="M102" s="61">
        <v>1744</v>
      </c>
      <c r="N102" s="61">
        <v>1744</v>
      </c>
      <c r="O102" s="61">
        <v>1744</v>
      </c>
      <c r="P102" s="61">
        <v>1744</v>
      </c>
      <c r="Q102" s="61">
        <f t="shared" si="10"/>
        <v>20928</v>
      </c>
      <c r="R102" s="61">
        <f>Q102/'Rooms Summary'!$Q$111</f>
        <v>0.76298807831127635</v>
      </c>
      <c r="S102" s="35"/>
      <c r="T102" s="40" t="e">
        <f t="shared" si="7"/>
        <v>#DIV/0!</v>
      </c>
    </row>
    <row r="103" spans="1:20" s="3" customFormat="1" ht="25.4" customHeight="1">
      <c r="A103" s="3" t="s">
        <v>331</v>
      </c>
      <c r="B103" s="50" t="s">
        <v>305</v>
      </c>
      <c r="D103" s="26" t="s">
        <v>332</v>
      </c>
      <c r="E103" s="61">
        <v>496</v>
      </c>
      <c r="F103" s="61">
        <v>496</v>
      </c>
      <c r="G103" s="61">
        <v>496</v>
      </c>
      <c r="H103" s="61">
        <v>496</v>
      </c>
      <c r="I103" s="61">
        <v>496</v>
      </c>
      <c r="J103" s="61">
        <v>496</v>
      </c>
      <c r="K103" s="61">
        <v>496</v>
      </c>
      <c r="L103" s="61">
        <v>496</v>
      </c>
      <c r="M103" s="61">
        <v>496</v>
      </c>
      <c r="N103" s="61">
        <v>496</v>
      </c>
      <c r="O103" s="61">
        <v>496</v>
      </c>
      <c r="P103" s="61">
        <v>496</v>
      </c>
      <c r="Q103" s="61">
        <f t="shared" si="10"/>
        <v>5952</v>
      </c>
      <c r="R103" s="61">
        <f>Q103/'Rooms Summary'!$Q$111</f>
        <v>0.21699660942797769</v>
      </c>
      <c r="S103" s="35"/>
      <c r="T103" s="108"/>
    </row>
    <row r="104" spans="1:20" s="3" customFormat="1" ht="25.4" customHeight="1">
      <c r="A104" s="3" t="s">
        <v>333</v>
      </c>
      <c r="B104" s="50" t="s">
        <v>305</v>
      </c>
      <c r="D104" s="26" t="s">
        <v>334</v>
      </c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>
        <f t="shared" si="10"/>
        <v>0</v>
      </c>
      <c r="R104" s="61">
        <f>Q104/'Rooms Summary'!$Q$111</f>
        <v>0</v>
      </c>
      <c r="S104" s="35"/>
      <c r="T104" s="108"/>
    </row>
    <row r="105" spans="1:20" s="3" customFormat="1" ht="25.4" customHeight="1">
      <c r="D105" s="19" t="s">
        <v>335</v>
      </c>
      <c r="E105" s="151">
        <f>SUM(E97:E104)</f>
        <v>7243.4</v>
      </c>
      <c r="F105" s="151">
        <f t="shared" ref="F105:Q105" si="11">SUM(F97:F104)</f>
        <v>7243.4</v>
      </c>
      <c r="G105" s="151">
        <f t="shared" si="11"/>
        <v>7243.4</v>
      </c>
      <c r="H105" s="151">
        <f t="shared" si="11"/>
        <v>7243.4</v>
      </c>
      <c r="I105" s="151">
        <f t="shared" si="11"/>
        <v>7243.4</v>
      </c>
      <c r="J105" s="151">
        <f t="shared" si="11"/>
        <v>7243.4</v>
      </c>
      <c r="K105" s="151">
        <f t="shared" si="11"/>
        <v>7243.4</v>
      </c>
      <c r="L105" s="151">
        <f t="shared" si="11"/>
        <v>7243.4</v>
      </c>
      <c r="M105" s="151">
        <f t="shared" si="11"/>
        <v>7243.4</v>
      </c>
      <c r="N105" s="151">
        <f t="shared" si="11"/>
        <v>7243.4</v>
      </c>
      <c r="O105" s="151">
        <f t="shared" si="11"/>
        <v>7243.4</v>
      </c>
      <c r="P105" s="151">
        <f t="shared" si="11"/>
        <v>7243.4</v>
      </c>
      <c r="Q105" s="151">
        <f t="shared" si="11"/>
        <v>86920.800000000017</v>
      </c>
      <c r="R105" s="61">
        <f>Q105/'Rooms Summary'!$Q$111</f>
        <v>3.1689379853439799</v>
      </c>
      <c r="S105" s="35"/>
      <c r="T105" s="40" t="e">
        <f t="shared" si="7"/>
        <v>#DIV/0!</v>
      </c>
    </row>
    <row r="106" spans="1:20" s="3" customFormat="1" ht="25.4" customHeight="1">
      <c r="L106" s="152"/>
      <c r="S106" s="35"/>
      <c r="T106" s="108"/>
    </row>
    <row r="107" spans="1:20" s="3" customFormat="1" ht="25.4" customHeight="1">
      <c r="A107" s="3" t="s">
        <v>336</v>
      </c>
      <c r="B107" s="50" t="s">
        <v>305</v>
      </c>
      <c r="D107" s="26" t="s">
        <v>337</v>
      </c>
      <c r="E107" s="61"/>
      <c r="F107" s="63"/>
      <c r="G107" s="63"/>
      <c r="H107" s="63"/>
      <c r="I107" s="63"/>
      <c r="J107" s="61"/>
      <c r="K107" s="61"/>
      <c r="L107" s="61"/>
      <c r="M107" s="61"/>
      <c r="N107" s="61"/>
      <c r="O107" s="61"/>
      <c r="P107" s="61"/>
      <c r="Q107" s="61">
        <f t="shared" ref="Q107:Q113" si="12">SUM(E107:P107)</f>
        <v>0</v>
      </c>
      <c r="R107" s="61">
        <f>Q107/'Rooms Summary'!$Q$111</f>
        <v>0</v>
      </c>
      <c r="S107" s="35"/>
      <c r="T107" s="108"/>
    </row>
    <row r="108" spans="1:20" s="3" customFormat="1" ht="25.4" customHeight="1">
      <c r="A108" s="3" t="s">
        <v>338</v>
      </c>
      <c r="B108" s="50" t="s">
        <v>305</v>
      </c>
      <c r="D108" s="3" t="s">
        <v>339</v>
      </c>
      <c r="E108" s="61"/>
      <c r="F108" s="63"/>
      <c r="G108" s="63"/>
      <c r="H108" s="63"/>
      <c r="I108" s="63"/>
      <c r="J108" s="61"/>
      <c r="K108" s="61"/>
      <c r="L108" s="61"/>
      <c r="M108" s="61"/>
      <c r="N108" s="61"/>
      <c r="O108" s="61"/>
      <c r="P108" s="61"/>
      <c r="Q108" s="61">
        <f t="shared" si="12"/>
        <v>0</v>
      </c>
      <c r="R108" s="61">
        <f>Q108/'Rooms Summary'!$Q$111</f>
        <v>0</v>
      </c>
      <c r="S108" s="35"/>
      <c r="T108" s="108"/>
    </row>
    <row r="109" spans="1:20" s="3" customFormat="1" ht="25.4" customHeight="1">
      <c r="A109" s="3" t="s">
        <v>340</v>
      </c>
      <c r="B109" s="50" t="s">
        <v>305</v>
      </c>
      <c r="D109" s="26" t="s">
        <v>341</v>
      </c>
      <c r="E109" s="61"/>
      <c r="F109" s="63"/>
      <c r="G109" s="63"/>
      <c r="H109" s="63"/>
      <c r="I109" s="63"/>
      <c r="J109" s="61"/>
      <c r="K109" s="61"/>
      <c r="L109" s="61"/>
      <c r="M109" s="61"/>
      <c r="N109" s="61"/>
      <c r="O109" s="61"/>
      <c r="P109" s="61"/>
      <c r="Q109" s="61">
        <f t="shared" si="12"/>
        <v>0</v>
      </c>
      <c r="R109" s="61">
        <f>Q109/'Rooms Summary'!$Q$111</f>
        <v>0</v>
      </c>
      <c r="S109" s="35"/>
      <c r="T109" s="108"/>
    </row>
    <row r="110" spans="1:20" s="3" customFormat="1" ht="25.4" customHeight="1">
      <c r="A110" s="3" t="s">
        <v>342</v>
      </c>
      <c r="B110" s="50" t="s">
        <v>305</v>
      </c>
      <c r="D110" s="26" t="s">
        <v>343</v>
      </c>
      <c r="E110" s="61"/>
      <c r="F110" s="63"/>
      <c r="G110" s="63"/>
      <c r="H110" s="63"/>
      <c r="I110" s="63"/>
      <c r="J110" s="61"/>
      <c r="K110" s="61"/>
      <c r="L110" s="61"/>
      <c r="M110" s="61"/>
      <c r="N110" s="61"/>
      <c r="O110" s="61"/>
      <c r="P110" s="61"/>
      <c r="Q110" s="61">
        <f t="shared" si="12"/>
        <v>0</v>
      </c>
      <c r="R110" s="61">
        <f>Q110/'Rooms Summary'!$Q$111</f>
        <v>0</v>
      </c>
      <c r="S110" s="35"/>
      <c r="T110" s="108"/>
    </row>
    <row r="111" spans="1:20" s="3" customFormat="1" ht="25.4" customHeight="1">
      <c r="A111" s="3" t="s">
        <v>344</v>
      </c>
      <c r="B111" s="50" t="s">
        <v>305</v>
      </c>
      <c r="D111" s="26" t="s">
        <v>345</v>
      </c>
      <c r="E111" s="61">
        <v>300</v>
      </c>
      <c r="F111" s="61">
        <v>400</v>
      </c>
      <c r="G111" s="61">
        <v>300</v>
      </c>
      <c r="H111" s="61">
        <v>300</v>
      </c>
      <c r="I111" s="61">
        <v>300</v>
      </c>
      <c r="J111" s="61">
        <v>300</v>
      </c>
      <c r="K111" s="61">
        <v>300</v>
      </c>
      <c r="L111" s="61">
        <v>300</v>
      </c>
      <c r="M111" s="61">
        <v>300</v>
      </c>
      <c r="N111" s="61">
        <v>300</v>
      </c>
      <c r="O111" s="61">
        <v>300</v>
      </c>
      <c r="P111" s="61">
        <v>300</v>
      </c>
      <c r="Q111" s="61">
        <f t="shared" si="12"/>
        <v>3700</v>
      </c>
      <c r="R111" s="61">
        <f>Q111/'Rooms Summary'!$Q$111</f>
        <v>0.13489372561887053</v>
      </c>
      <c r="S111" s="35"/>
      <c r="T111" s="108" t="e">
        <f>-(Q111-S111)/S111</f>
        <v>#DIV/0!</v>
      </c>
    </row>
    <row r="112" spans="1:20" s="3" customFormat="1" ht="25.4" customHeight="1">
      <c r="A112" s="3" t="s">
        <v>346</v>
      </c>
      <c r="B112" s="50" t="s">
        <v>305</v>
      </c>
      <c r="D112" s="26" t="s">
        <v>347</v>
      </c>
      <c r="E112" s="61">
        <v>1778.65</v>
      </c>
      <c r="F112" s="61">
        <v>1771.6499999999999</v>
      </c>
      <c r="G112" s="61">
        <v>1764.7</v>
      </c>
      <c r="H112" s="61">
        <v>1757.8</v>
      </c>
      <c r="I112" s="61">
        <v>1711.05</v>
      </c>
      <c r="J112" s="61">
        <v>1685.3999999999999</v>
      </c>
      <c r="K112" s="61">
        <v>1654.4</v>
      </c>
      <c r="L112" s="61">
        <v>1654.4</v>
      </c>
      <c r="M112" s="61">
        <v>1642.3500000000001</v>
      </c>
      <c r="N112" s="61">
        <v>1630.4499999999998</v>
      </c>
      <c r="O112" s="61">
        <v>1624.5500000000002</v>
      </c>
      <c r="P112" s="61">
        <v>1618.7</v>
      </c>
      <c r="Q112" s="61">
        <f t="shared" si="12"/>
        <v>20294.099999999999</v>
      </c>
      <c r="R112" s="61">
        <f>Q112/'Rooms Summary'!$Q$111</f>
        <v>0.73987750191403256</v>
      </c>
      <c r="S112" s="35"/>
      <c r="T112" s="108"/>
    </row>
    <row r="113" spans="1:20" s="3" customFormat="1" ht="25.4" customHeight="1">
      <c r="A113" s="3" t="s">
        <v>348</v>
      </c>
      <c r="B113" s="50" t="s">
        <v>305</v>
      </c>
      <c r="D113" s="26" t="s">
        <v>349</v>
      </c>
      <c r="E113" s="61">
        <v>5266.25</v>
      </c>
      <c r="F113" s="61">
        <v>5179.4500000000007</v>
      </c>
      <c r="G113" s="61">
        <v>5111.8</v>
      </c>
      <c r="H113" s="61">
        <v>5134.8999999999996</v>
      </c>
      <c r="I113" s="61">
        <v>5030.8499999999995</v>
      </c>
      <c r="J113" s="61">
        <v>4943.05</v>
      </c>
      <c r="K113" s="61">
        <v>4903.1499999999996</v>
      </c>
      <c r="L113" s="61">
        <v>4912.0999999999995</v>
      </c>
      <c r="M113" s="61">
        <v>4932</v>
      </c>
      <c r="N113" s="61">
        <v>4968.55</v>
      </c>
      <c r="O113" s="61">
        <v>4907.9000000000005</v>
      </c>
      <c r="P113" s="61">
        <v>4892.0999999999995</v>
      </c>
      <c r="Q113" s="61">
        <f t="shared" si="12"/>
        <v>60182.1</v>
      </c>
      <c r="R113" s="61">
        <f>Q113/'Rooms Summary'!$Q$111</f>
        <v>2.1941047796128186</v>
      </c>
      <c r="S113" s="35"/>
      <c r="T113" s="108"/>
    </row>
    <row r="114" spans="1:20" s="3" customFormat="1" ht="25.4" customHeight="1">
      <c r="B114" s="50"/>
      <c r="D114" s="19" t="s">
        <v>350</v>
      </c>
      <c r="E114" s="151">
        <f>SUM(E107:E113)</f>
        <v>7344.9</v>
      </c>
      <c r="F114" s="151">
        <f t="shared" ref="F114:Q114" si="13">SUM(F107:F113)</f>
        <v>7351.1</v>
      </c>
      <c r="G114" s="151">
        <f t="shared" si="13"/>
        <v>7176.5</v>
      </c>
      <c r="H114" s="151">
        <f t="shared" si="13"/>
        <v>7192.7</v>
      </c>
      <c r="I114" s="151">
        <f t="shared" si="13"/>
        <v>7041.9</v>
      </c>
      <c r="J114" s="151">
        <f t="shared" si="13"/>
        <v>6928.45</v>
      </c>
      <c r="K114" s="151">
        <f t="shared" si="13"/>
        <v>6857.5499999999993</v>
      </c>
      <c r="L114" s="151">
        <f t="shared" si="13"/>
        <v>6866.5</v>
      </c>
      <c r="M114" s="151">
        <f t="shared" si="13"/>
        <v>6874.35</v>
      </c>
      <c r="N114" s="151">
        <f t="shared" si="13"/>
        <v>6899</v>
      </c>
      <c r="O114" s="151">
        <f t="shared" si="13"/>
        <v>6832.4500000000007</v>
      </c>
      <c r="P114" s="151">
        <f t="shared" si="13"/>
        <v>6810.7999999999993</v>
      </c>
      <c r="Q114" s="151">
        <f t="shared" si="13"/>
        <v>84176.2</v>
      </c>
      <c r="R114" s="61">
        <f>Q114/'Rooms Summary'!$Q$111</f>
        <v>3.0688760071457217</v>
      </c>
      <c r="S114" s="35"/>
      <c r="T114" s="108" t="e">
        <f>-(Q114-S114)/S114</f>
        <v>#DIV/0!</v>
      </c>
    </row>
    <row r="115" spans="1:20" s="3" customFormat="1" ht="25.4" customHeight="1">
      <c r="D115" s="19" t="s">
        <v>351</v>
      </c>
      <c r="E115" s="151">
        <f>E88+E95+E105+E114</f>
        <v>44332.79</v>
      </c>
      <c r="F115" s="151">
        <f t="shared" ref="F115:Q115" si="14">F88+F95+F105+F114</f>
        <v>39704.5</v>
      </c>
      <c r="G115" s="151">
        <f t="shared" si="14"/>
        <v>39529.9</v>
      </c>
      <c r="H115" s="151">
        <f t="shared" si="14"/>
        <v>40936.439999999995</v>
      </c>
      <c r="I115" s="151">
        <f t="shared" si="14"/>
        <v>41712.53</v>
      </c>
      <c r="J115" s="151">
        <f t="shared" si="14"/>
        <v>39281.85</v>
      </c>
      <c r="K115" s="151">
        <f t="shared" si="14"/>
        <v>39210.949999999997</v>
      </c>
      <c r="L115" s="151">
        <f t="shared" si="14"/>
        <v>39219.9</v>
      </c>
      <c r="M115" s="151">
        <f t="shared" si="14"/>
        <v>39227.75</v>
      </c>
      <c r="N115" s="151">
        <f t="shared" si="14"/>
        <v>43886.89</v>
      </c>
      <c r="O115" s="151">
        <f t="shared" si="14"/>
        <v>39185.850000000006</v>
      </c>
      <c r="P115" s="151">
        <f t="shared" si="14"/>
        <v>39164.199999999997</v>
      </c>
      <c r="Q115" s="151">
        <f t="shared" si="14"/>
        <v>485393.55</v>
      </c>
      <c r="R115" s="61">
        <f>Q115/'Rooms Summary'!$Q$111</f>
        <v>17.696363338072842</v>
      </c>
      <c r="S115" s="35"/>
      <c r="T115" s="108" t="e">
        <f>-(Q115-S115)/S115</f>
        <v>#DIV/0!</v>
      </c>
    </row>
    <row r="116" spans="1:20" s="42" customFormat="1" ht="25.4" customHeight="1">
      <c r="A116" s="42" t="s">
        <v>352</v>
      </c>
      <c r="D116" s="42" t="s">
        <v>353</v>
      </c>
      <c r="L116" s="152"/>
      <c r="S116" s="35"/>
      <c r="T116" s="108"/>
    </row>
    <row r="117" spans="1:20" s="42" customFormat="1" ht="25.4" customHeight="1">
      <c r="L117" s="152"/>
      <c r="S117" s="35"/>
      <c r="T117" s="108"/>
    </row>
    <row r="118" spans="1:20" s="3" customFormat="1" ht="25.4" customHeight="1">
      <c r="A118" s="177" t="s">
        <v>108</v>
      </c>
      <c r="B118" s="69" t="s">
        <v>305</v>
      </c>
      <c r="D118" s="19" t="s">
        <v>354</v>
      </c>
      <c r="E118" s="65">
        <v>5</v>
      </c>
      <c r="F118" s="65">
        <v>5</v>
      </c>
      <c r="G118" s="65">
        <v>5</v>
      </c>
      <c r="H118" s="65">
        <v>5</v>
      </c>
      <c r="I118" s="65">
        <v>5</v>
      </c>
      <c r="J118" s="65">
        <v>5</v>
      </c>
      <c r="K118" s="65">
        <v>5</v>
      </c>
      <c r="L118" s="65">
        <v>5</v>
      </c>
      <c r="M118" s="65">
        <v>5</v>
      </c>
      <c r="N118" s="65">
        <v>5</v>
      </c>
      <c r="O118" s="65">
        <v>5</v>
      </c>
      <c r="P118" s="65">
        <v>5</v>
      </c>
      <c r="Q118" s="133">
        <f>SUM(E118:P118)/12</f>
        <v>5</v>
      </c>
      <c r="S118" s="35"/>
      <c r="T118" s="108">
        <f>-IF(Q118-S118,0,(Q118-S118)/S118)</f>
        <v>0</v>
      </c>
    </row>
    <row r="120" spans="1:20" ht="26.25" customHeight="1">
      <c r="D120" s="58"/>
    </row>
  </sheetData>
  <phoneticPr fontId="56" type="noConversion"/>
  <dataValidations count="51">
    <dataValidation type="textLength" errorStyle="information" allowBlank="1" showInputMessage="1" showErrorMessage="1" error="XLBVal:6=2544_x000d__x000a_" sqref="Q118">
      <formula1>0</formula1>
      <formula2>300</formula2>
    </dataValidation>
    <dataValidation type="textLength" errorStyle="information" allowBlank="1" showInputMessage="1" showErrorMessage="1" sqref="H89:I89 H96:I96 H106:I106 E116:I117 E83:I85">
      <formula1>0</formula1>
      <formula2>300</formula2>
    </dataValidation>
    <dataValidation type="textLength" errorStyle="information" allowBlank="1" showInputMessage="1" showErrorMessage="1" error="XLBVal:6=3293096_x000d__x000a_" sqref="Q21">
      <formula1>0</formula1>
      <formula2>300</formula2>
    </dataValidation>
    <dataValidation type="textLength" errorStyle="information" allowBlank="1" showInputMessage="1" showErrorMessage="1" error="XLBVal:6=258096_x000d__x000a_" sqref="Q111">
      <formula1>0</formula1>
      <formula2>300</formula2>
    </dataValidation>
    <dataValidation type="textLength" errorStyle="information" allowBlank="1" showInputMessage="1" showErrorMessage="1" error="XLBVal:6=1439748_x000d__x000a_" sqref="Q97">
      <formula1>0</formula1>
      <formula2>300</formula2>
    </dataValidation>
    <dataValidation type="textLength" errorStyle="information" allowBlank="1" showInputMessage="1" showErrorMessage="1" error="XLBVal:6=265776_x000d__x000a_" sqref="Q80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9198.23_x000d__x000a_" sqref="E11:P11">
      <formula1>0</formula1>
      <formula2>300</formula2>
    </dataValidation>
    <dataValidation type="textLength" errorStyle="information" allowBlank="1" showInputMessage="1" showErrorMessage="1" error="XLBVal:6=18155331_x000d__x000a_" sqref="Q11">
      <formula1>0</formula1>
      <formula2>300</formula2>
    </dataValidation>
    <dataValidation type="textLength" errorStyle="information" allowBlank="1" showInputMessage="1" showErrorMessage="1" error="XLBVal:6=10508400_x000d__x000a_" sqref="Q14 Q16">
      <formula1>0</formula1>
      <formula2>300</formula2>
    </dataValidation>
    <dataValidation type="textLength" errorStyle="information" allowBlank="1" showInputMessage="1" showErrorMessage="1" error="XLBVal:6=89906.52_x000d__x000a_" sqref="E14:P14">
      <formula1>0</formula1>
      <formula2>300</formula2>
    </dataValidation>
    <dataValidation type="textLength" errorStyle="information" allowBlank="1" showInputMessage="1" showErrorMessage="1" error="XLBVal:6=877776_x000d__x000a_" sqref="Q112">
      <formula1>0</formula1>
      <formula2>300</formula2>
    </dataValidation>
    <dataValidation type="textLength" errorStyle="information" allowBlank="1" showInputMessage="1" showErrorMessage="1" error="XLBVal:2=0_x000d__x000a_" sqref="E15:Q15 Q23 E70:Q70 Q72 E81:Q81 E107:P113 Q92 Q104 F12:F13 Q17:Q20 Q26:Q27 Q31:Q32 Q35:Q36 Q38:Q41 Q43:Q48 Q50:Q67 Q74:Q79 Q107:Q110 E92:P94 E86:Q86 E103:P104 E71:P79 E17:P69">
      <formula1>0</formula1>
      <formula2>300</formula2>
    </dataValidation>
    <dataValidation type="textLength" errorStyle="information" allowBlank="1" showInputMessage="1" showErrorMessage="1" error="XLBVal:6=7652_x000d__x000a_" sqref="E16:P16">
      <formula1>0</formula1>
      <formula2>300</formula2>
    </dataValidation>
    <dataValidation type="textLength" errorStyle="information" allowBlank="1" showInputMessage="1" showErrorMessage="1" error="XLBVal:6=6595485.04_x000d__x000a_" sqref="G12:G13">
      <formula1>0</formula1>
      <formula2>300</formula2>
    </dataValidation>
    <dataValidation type="textLength" errorStyle="information" allowBlank="1" showInputMessage="1" showErrorMessage="1" error="XLBVal:6=224000_x000d__x000a_" sqref="Q22">
      <formula1>0</formula1>
      <formula2>300</formula2>
    </dataValidation>
    <dataValidation type="textLength" errorStyle="information" allowBlank="1" showInputMessage="1" showErrorMessage="1" error="XLBVal:6=1424.46_x000d__x000a_" sqref="E91:P91">
      <formula1>0</formula1>
      <formula2>300</formula2>
    </dataValidation>
    <dataValidation type="textLength" errorStyle="information" allowBlank="1" showInputMessage="1" showErrorMessage="1" error="XLBVal:6=0_x000d__x000a_" sqref="Q24 E82:Q82">
      <formula1>0</formula1>
      <formula2>300</formula2>
    </dataValidation>
    <dataValidation type="textLength" errorStyle="information" allowBlank="1" showInputMessage="1" showErrorMessage="1" error="XLBVal:6=38000_x000d__x000a_" sqref="Q25">
      <formula1>0</formula1>
      <formula2>300</formula2>
    </dataValidation>
    <dataValidation type="textLength" errorStyle="information" allowBlank="1" showInputMessage="1" showErrorMessage="1" error="XLBVal:6=30984_x000d__x000a_" sqref="Q28">
      <formula1>0</formula1>
      <formula2>300</formula2>
    </dataValidation>
    <dataValidation type="textLength" errorStyle="information" allowBlank="1" showInputMessage="1" showErrorMessage="1" error="XLBVal:6=6864605_x000d__x000a_" sqref="Q29">
      <formula1>0</formula1>
      <formula2>300</formula2>
    </dataValidation>
    <dataValidation type="textLength" errorStyle="information" allowBlank="1" showInputMessage="1" showErrorMessage="1" error="XLBVal:5=15426.66_x000d__x000a_" sqref="I12:I13">
      <formula1>0</formula1>
      <formula2>300</formula2>
    </dataValidation>
    <dataValidation type="textLength" errorStyle="information" allowBlank="1" showInputMessage="1" showErrorMessage="1" error="XLBVal:6=812280_x000d__x000a_" sqref="Q30">
      <formula1>0</formula1>
      <formula2>300</formula2>
    </dataValidation>
    <dataValidation type="textLength" errorStyle="information" allowBlank="1" showInputMessage="1" showErrorMessage="1" error="XLBVal:6=45391_x000d__x000a_" sqref="Q33">
      <formula1>0</formula1>
      <formula2>300</formula2>
    </dataValidation>
    <dataValidation type="textLength" errorStyle="information" allowBlank="1" showInputMessage="1" showErrorMessage="1" error="XLBVal:6=497071_x000d__x000a_" sqref="Q34">
      <formula1>0</formula1>
      <formula2>300</formula2>
    </dataValidation>
    <dataValidation type="textLength" errorStyle="information" allowBlank="1" showInputMessage="1" showErrorMessage="1" error="XLBVal:6=604513_x000d__x000a_" sqref="Q37">
      <formula1>0</formula1>
      <formula2>300</formula2>
    </dataValidation>
    <dataValidation type="textLength" errorStyle="information" allowBlank="1" showInputMessage="1" showErrorMessage="1" error="XLBVal:6=6688509.16_x000d__x000a_" sqref="E12:E13">
      <formula1>0</formula1>
      <formula2>300</formula2>
    </dataValidation>
    <dataValidation type="textLength" errorStyle="information" allowBlank="1" showInputMessage="1" showErrorMessage="1" error="XLBVal:6=133777_x000d__x000a_" sqref="Q42">
      <formula1>0</formula1>
      <formula2>300</formula2>
    </dataValidation>
    <dataValidation type="textLength" errorStyle="information" allowBlank="1" showInputMessage="1" showErrorMessage="1" error="XLBVal:6=31710_x000d__x000a_" sqref="Q100">
      <formula1>0</formula1>
      <formula2>300</formula2>
    </dataValidation>
    <dataValidation type="textLength" errorStyle="information" allowBlank="1" showInputMessage="1" showErrorMessage="1" error="XLBVal:6=1640556_x000d__x000a_" sqref="Q91">
      <formula1>0</formula1>
      <formula2>300</formula2>
    </dataValidation>
    <dataValidation type="textLength" errorStyle="information" allowBlank="1" showInputMessage="1" showErrorMessage="1" error="XLBVal:6=497000_x000d__x000a_" sqref="Q49">
      <formula1>0</formula1>
      <formula2>300</formula2>
    </dataValidation>
    <dataValidation type="textLength" errorStyle="information" allowBlank="1" showInputMessage="1" showErrorMessage="1" error="XLBVal:6=128852_x000d__x000a_" sqref="Q68">
      <formula1>0</formula1>
      <formula2>300</formula2>
    </dataValidation>
    <dataValidation type="textLength" errorStyle="information" allowBlank="1" showInputMessage="1" showErrorMessage="1" error="XLBVal:6=2195857_x000d__x000a_" sqref="Q69">
      <formula1>0</formula1>
      <formula2>300</formula2>
    </dataValidation>
    <dataValidation type="textLength" errorStyle="information" allowBlank="1" showInputMessage="1" showErrorMessage="1" error="XLBVal:6=913200_x000d__x000a_" sqref="Q71">
      <formula1>0</formula1>
      <formula2>300</formula2>
    </dataValidation>
    <dataValidation type="textLength" errorStyle="information" allowBlank="1" showInputMessage="1" showErrorMessage="1" error="XLBVal:6=78120_x000d__x000a_" sqref="Q73">
      <formula1>0</formula1>
      <formula2>300</formula2>
    </dataValidation>
    <dataValidation type="textLength" errorStyle="information" allowBlank="1" showInputMessage="1" showErrorMessage="1" error="XLBVal:6=28_x000d__x000a_" sqref="E80:P80">
      <formula1>0</formula1>
      <formula2>300</formula2>
    </dataValidation>
    <dataValidation type="textLength" errorStyle="information" allowBlank="1" showInputMessage="1" showErrorMessage="1" error="XLBVal:6=234560_x000d__x000a_" sqref="Q103">
      <formula1>0</formula1>
      <formula2>300</formula2>
    </dataValidation>
    <dataValidation type="textLength" errorStyle="information" allowBlank="1" showInputMessage="1" showErrorMessage="1" error="XLBVal:6=21309_x000d__x000a_" sqref="E87:P87">
      <formula1>0</formula1>
      <formula2>300</formula2>
    </dataValidation>
    <dataValidation type="textLength" errorStyle="information" allowBlank="1" showInputMessage="1" showErrorMessage="1" error="XLBVal:6=2793648_x000d__x000a_" sqref="Q87">
      <formula1>0</formula1>
      <formula2>300</formula2>
    </dataValidation>
    <dataValidation type="textLength" errorStyle="information" allowBlank="1" showInputMessage="1" showErrorMessage="1" error="XLBVal:6=500.49_x000d__x000a_" sqref="E90:P90">
      <formula1>0</formula1>
      <formula2>300</formula2>
    </dataValidation>
    <dataValidation type="textLength" errorStyle="information" allowBlank="1" showInputMessage="1" showErrorMessage="1" error="XLBVal:6=447561_x000d__x000a_" sqref="Q90">
      <formula1>0</formula1>
      <formula2>300</formula2>
    </dataValidation>
    <dataValidation type="textLength" errorStyle="information" allowBlank="1" showInputMessage="1" showErrorMessage="1" error="XLBVal:6=39534_x000d__x000a_" sqref="Q99">
      <formula1>0</formula1>
      <formula2>300</formula2>
    </dataValidation>
    <dataValidation type="textLength" errorStyle="information" allowBlank="1" showInputMessage="1" showErrorMessage="1" error="XLBVal:6=3_x000d__x000a_" sqref="Q93 E118:P118">
      <formula1>0</formula1>
      <formula2>300</formula2>
    </dataValidation>
    <dataValidation type="textLength" errorStyle="information" allowBlank="1" showInputMessage="1" showErrorMessage="1" error="XLBVal:6=639338_x000d__x000a_" sqref="Q94">
      <formula1>0</formula1>
      <formula2>300</formula2>
    </dataValidation>
    <dataValidation type="textLength" errorStyle="information" allowBlank="1" showInputMessage="1" showErrorMessage="1" error="XLBVal:6=632410_x000d__x000a_" sqref="Q98">
      <formula1>0</formula1>
      <formula2>300</formula2>
    </dataValidation>
    <dataValidation type="textLength" errorStyle="information" allowBlank="1" showInputMessage="1" showErrorMessage="1" error="XLBVal:6=39654_x000d__x000a_" sqref="Q101">
      <formula1>0</formula1>
      <formula2>300</formula2>
    </dataValidation>
    <dataValidation type="textLength" errorStyle="information" allowBlank="1" showInputMessage="1" showErrorMessage="1" error="XLBVal:6=354026_x000d__x000a_" sqref="Q102">
      <formula1>0</formula1>
      <formula2>300</formula2>
    </dataValidation>
    <dataValidation type="textLength" errorStyle="information" allowBlank="1" showInputMessage="1" showErrorMessage="1" error="XLBVal:6=3678_x000d__x000a_" sqref="E106:G106">
      <formula1>0</formula1>
      <formula2>300</formula2>
    </dataValidation>
    <dataValidation type="textLength" errorStyle="information" allowBlank="1" showInputMessage="1" showErrorMessage="1" error="XLBVal:6=3099839_x000d__x000a_" sqref="Q113">
      <formula1>0</formula1>
      <formula2>300</formula2>
    </dataValidation>
    <dataValidation type="textLength" errorStyle="information" allowBlank="1" showInputMessage="1" showErrorMessage="1" error="XLBVal:5=-2586288.67_x000d__x000a_" sqref="H12:H13">
      <formula1>0</formula1>
      <formula2>300</formula2>
    </dataValidation>
    <dataValidation type="textLength" errorStyle="information" allowBlank="1" showInputMessage="1" showErrorMessage="1" error="XLBVal:6=1096.4_x000d__x000a_" sqref="E97:P10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  <rowBreaks count="1" manualBreakCount="1">
    <brk id="82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R120"/>
  <sheetViews>
    <sheetView zoomScale="52" zoomScaleNormal="52" zoomScaleSheetLayoutView="40" workbookViewId="0">
      <pane xSplit="4" topLeftCell="E1" activePane="topRight" state="frozen"/>
      <selection activeCell="A77" sqref="A77:XFD77"/>
      <selection pane="topRight" activeCell="E69" sqref="E69:P69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9.453125" style="6" customWidth="1" collapsed="1"/>
    <col min="5" max="9" width="26.453125" style="7" customWidth="1"/>
    <col min="10" max="11" width="26.453125" style="174" customWidth="1"/>
    <col min="12" max="12" width="26.453125" style="5" customWidth="1"/>
    <col min="13" max="17" width="26.453125" style="174" customWidth="1"/>
    <col min="18" max="18" width="14.453125" style="174" bestFit="1" customWidth="1"/>
    <col min="19" max="16384" width="8.90625" style="174"/>
  </cols>
  <sheetData>
    <row r="1" spans="1:17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2" customFormat="1" ht="25.4" customHeight="1">
      <c r="D4" s="10" t="s">
        <v>1263</v>
      </c>
      <c r="E4" s="11"/>
      <c r="F4" s="11"/>
      <c r="G4" s="12"/>
      <c r="H4" s="13"/>
      <c r="I4" s="13"/>
    </row>
    <row r="5" spans="1:17" s="2" customFormat="1" ht="25.4" customHeight="1">
      <c r="D5" s="10" t="s">
        <v>1264</v>
      </c>
      <c r="E5" s="11"/>
      <c r="F5" s="11"/>
      <c r="G5" s="12"/>
      <c r="H5" s="13"/>
      <c r="I5" s="13"/>
    </row>
    <row r="6" spans="1:17" s="2" customFormat="1" ht="25.4" customHeight="1">
      <c r="D6" s="14" t="s">
        <v>1163</v>
      </c>
      <c r="E6" s="13"/>
      <c r="F6" s="13"/>
      <c r="G6" s="13"/>
      <c r="H6" s="13"/>
      <c r="I6" s="13"/>
    </row>
    <row r="7" spans="1:17" s="2" customFormat="1" ht="25.4" customHeight="1">
      <c r="D7" s="10">
        <f>Parameter!H4</f>
        <v>2025</v>
      </c>
      <c r="E7" s="13"/>
      <c r="F7" s="13"/>
      <c r="G7" s="13"/>
      <c r="H7" s="13"/>
      <c r="I7" s="13"/>
    </row>
    <row r="8" spans="1:17" ht="25.4" customHeight="1">
      <c r="A8" s="174"/>
      <c r="B8" s="174"/>
      <c r="C8" s="174"/>
      <c r="D8" s="175"/>
      <c r="E8" s="176"/>
      <c r="F8" s="176"/>
      <c r="G8" s="176"/>
      <c r="H8" s="176"/>
      <c r="I8" s="176"/>
    </row>
    <row r="9" spans="1:17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</row>
    <row r="10" spans="1:17" s="4" customFormat="1" ht="40.4" customHeight="1">
      <c r="A10" s="19" t="s">
        <v>18</v>
      </c>
      <c r="B10" s="19" t="s">
        <v>19</v>
      </c>
      <c r="C10" s="19" t="s">
        <v>114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</row>
    <row r="11" spans="1:17" s="3" customFormat="1" ht="25.4" customHeight="1">
      <c r="A11" s="3" t="s">
        <v>106</v>
      </c>
      <c r="B11" s="50" t="s">
        <v>362</v>
      </c>
      <c r="D11" s="21" t="s">
        <v>139</v>
      </c>
      <c r="E11" s="45">
        <f>E115</f>
        <v>69644.570000000007</v>
      </c>
      <c r="F11" s="45">
        <f t="shared" ref="F11:P11" si="0">F115</f>
        <v>69647.05</v>
      </c>
      <c r="G11" s="45">
        <f t="shared" si="0"/>
        <v>69577.210000000006</v>
      </c>
      <c r="H11" s="45">
        <f t="shared" si="0"/>
        <v>69583.69</v>
      </c>
      <c r="I11" s="45">
        <f t="shared" si="0"/>
        <v>69523.37</v>
      </c>
      <c r="J11" s="45">
        <f t="shared" si="0"/>
        <v>69477.990000000005</v>
      </c>
      <c r="K11" s="45">
        <f t="shared" si="0"/>
        <v>69449.63</v>
      </c>
      <c r="L11" s="45">
        <f t="shared" si="0"/>
        <v>69453.210000000006</v>
      </c>
      <c r="M11" s="45">
        <f t="shared" si="0"/>
        <v>69456.350000000006</v>
      </c>
      <c r="N11" s="45">
        <f t="shared" si="0"/>
        <v>69466.210000000006</v>
      </c>
      <c r="O11" s="45">
        <f t="shared" si="0"/>
        <v>69439.59</v>
      </c>
      <c r="P11" s="45">
        <f t="shared" si="0"/>
        <v>69430.929999999993</v>
      </c>
      <c r="Q11" s="169">
        <f>SUM(E11:P11)</f>
        <v>834149.79999999981</v>
      </c>
    </row>
    <row r="12" spans="1:17" s="3" customFormat="1" ht="25.4" customHeight="1">
      <c r="D12" s="26"/>
      <c r="E12" s="63"/>
      <c r="F12" s="63"/>
      <c r="G12" s="63"/>
      <c r="H12" s="63"/>
      <c r="I12" s="63"/>
      <c r="L12" s="152"/>
    </row>
    <row r="13" spans="1:17" s="3" customFormat="1" ht="25.4" customHeight="1">
      <c r="D13" s="21" t="s">
        <v>140</v>
      </c>
      <c r="E13" s="63"/>
      <c r="F13" s="63"/>
      <c r="G13" s="63"/>
      <c r="H13" s="63"/>
      <c r="I13" s="63"/>
      <c r="L13" s="152"/>
    </row>
    <row r="14" spans="1:17" s="3" customFormat="1" ht="25.4" hidden="1" customHeight="1">
      <c r="A14" s="3" t="s">
        <v>142</v>
      </c>
      <c r="B14" s="50" t="s">
        <v>362</v>
      </c>
      <c r="D14" s="26" t="s">
        <v>143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f>SUM(E14:P14)</f>
        <v>0</v>
      </c>
    </row>
    <row r="15" spans="1:17" s="3" customFormat="1" ht="25.4" hidden="1" customHeight="1">
      <c r="A15" s="3" t="s">
        <v>144</v>
      </c>
      <c r="B15" s="50" t="s">
        <v>362</v>
      </c>
      <c r="D15" s="26" t="s">
        <v>145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f t="shared" ref="Q15:Q78" si="1">SUM(E15:P15)</f>
        <v>0</v>
      </c>
    </row>
    <row r="16" spans="1:17" s="3" customFormat="1" ht="25.4" hidden="1" customHeight="1">
      <c r="A16" s="3" t="s">
        <v>146</v>
      </c>
      <c r="B16" s="50" t="s">
        <v>362</v>
      </c>
      <c r="D16" s="26" t="s">
        <v>147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f t="shared" si="1"/>
        <v>0</v>
      </c>
    </row>
    <row r="17" spans="1:17" s="3" customFormat="1" ht="25.4" hidden="1" customHeight="1">
      <c r="A17" s="3" t="s">
        <v>148</v>
      </c>
      <c r="B17" s="50" t="s">
        <v>362</v>
      </c>
      <c r="D17" s="26" t="s">
        <v>149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f t="shared" si="1"/>
        <v>0</v>
      </c>
    </row>
    <row r="18" spans="1:17" s="3" customFormat="1" ht="25.4" hidden="1" customHeight="1">
      <c r="A18" s="3" t="s">
        <v>150</v>
      </c>
      <c r="B18" s="50" t="s">
        <v>362</v>
      </c>
      <c r="D18" s="26" t="s">
        <v>151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f t="shared" si="1"/>
        <v>0</v>
      </c>
    </row>
    <row r="19" spans="1:17" s="3" customFormat="1" ht="25.4" hidden="1" customHeight="1">
      <c r="A19" s="3" t="s">
        <v>152</v>
      </c>
      <c r="B19" s="50" t="s">
        <v>362</v>
      </c>
      <c r="D19" s="26" t="s">
        <v>153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f t="shared" si="1"/>
        <v>0</v>
      </c>
    </row>
    <row r="20" spans="1:17" s="3" customFormat="1" ht="25.4" hidden="1" customHeight="1">
      <c r="A20" s="3" t="s">
        <v>154</v>
      </c>
      <c r="B20" s="50" t="s">
        <v>362</v>
      </c>
      <c r="D20" s="26" t="s">
        <v>155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f t="shared" si="1"/>
        <v>0</v>
      </c>
    </row>
    <row r="21" spans="1:17" s="3" customFormat="1" ht="25.4" hidden="1" customHeight="1">
      <c r="A21" s="3" t="s">
        <v>156</v>
      </c>
      <c r="B21" s="50" t="s">
        <v>362</v>
      </c>
      <c r="D21" s="26" t="s">
        <v>157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f t="shared" si="1"/>
        <v>0</v>
      </c>
    </row>
    <row r="22" spans="1:17" s="3" customFormat="1" ht="25.4" hidden="1" customHeight="1">
      <c r="A22" s="3" t="s">
        <v>158</v>
      </c>
      <c r="B22" s="50" t="s">
        <v>362</v>
      </c>
      <c r="D22" s="26" t="s">
        <v>159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f t="shared" si="1"/>
        <v>0</v>
      </c>
    </row>
    <row r="23" spans="1:17" s="3" customFormat="1" ht="25.4" hidden="1" customHeight="1">
      <c r="A23" s="3" t="s">
        <v>160</v>
      </c>
      <c r="B23" s="50" t="s">
        <v>362</v>
      </c>
      <c r="D23" s="26" t="s">
        <v>161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f t="shared" si="1"/>
        <v>0</v>
      </c>
    </row>
    <row r="24" spans="1:17" s="3" customFormat="1" ht="25.4" hidden="1" customHeight="1">
      <c r="A24" s="3" t="s">
        <v>162</v>
      </c>
      <c r="B24" s="50" t="s">
        <v>362</v>
      </c>
      <c r="D24" s="26" t="s">
        <v>163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f t="shared" si="1"/>
        <v>0</v>
      </c>
    </row>
    <row r="25" spans="1:17" s="3" customFormat="1" ht="25.4" hidden="1" customHeight="1">
      <c r="A25" s="3" t="s">
        <v>164</v>
      </c>
      <c r="B25" s="50" t="s">
        <v>362</v>
      </c>
      <c r="D25" s="26" t="s">
        <v>165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f t="shared" si="1"/>
        <v>0</v>
      </c>
    </row>
    <row r="26" spans="1:17" s="3" customFormat="1" ht="25.4" hidden="1" customHeight="1">
      <c r="A26" s="3" t="s">
        <v>166</v>
      </c>
      <c r="B26" s="50" t="s">
        <v>362</v>
      </c>
      <c r="D26" s="26" t="s">
        <v>167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f t="shared" si="1"/>
        <v>0</v>
      </c>
    </row>
    <row r="27" spans="1:17" s="3" customFormat="1" ht="25.4" hidden="1" customHeight="1">
      <c r="A27" s="3" t="s">
        <v>168</v>
      </c>
      <c r="B27" s="50" t="s">
        <v>362</v>
      </c>
      <c r="D27" s="26" t="s">
        <v>169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f t="shared" si="1"/>
        <v>0</v>
      </c>
    </row>
    <row r="28" spans="1:17" s="3" customFormat="1" ht="25.4" hidden="1" customHeight="1">
      <c r="A28" s="3" t="s">
        <v>170</v>
      </c>
      <c r="B28" s="50" t="s">
        <v>362</v>
      </c>
      <c r="D28" s="26" t="s">
        <v>171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f t="shared" si="1"/>
        <v>0</v>
      </c>
    </row>
    <row r="29" spans="1:17" s="3" customFormat="1" ht="25.4" hidden="1" customHeight="1">
      <c r="A29" s="3" t="s">
        <v>172</v>
      </c>
      <c r="B29" s="50" t="s">
        <v>362</v>
      </c>
      <c r="D29" s="26" t="s">
        <v>173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f t="shared" si="1"/>
        <v>0</v>
      </c>
    </row>
    <row r="30" spans="1:17" s="3" customFormat="1" ht="25.4" hidden="1" customHeight="1">
      <c r="A30" s="3" t="s">
        <v>174</v>
      </c>
      <c r="B30" s="50" t="s">
        <v>362</v>
      </c>
      <c r="D30" s="26" t="s">
        <v>175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f t="shared" si="1"/>
        <v>0</v>
      </c>
    </row>
    <row r="31" spans="1:17" s="3" customFormat="1" ht="25.4" hidden="1" customHeight="1">
      <c r="A31" s="3" t="s">
        <v>176</v>
      </c>
      <c r="B31" s="50" t="s">
        <v>362</v>
      </c>
      <c r="D31" s="26" t="s">
        <v>177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f t="shared" si="1"/>
        <v>0</v>
      </c>
    </row>
    <row r="32" spans="1:17" s="3" customFormat="1" ht="25.4" hidden="1" customHeight="1">
      <c r="A32" s="3" t="s">
        <v>178</v>
      </c>
      <c r="B32" s="50" t="s">
        <v>362</v>
      </c>
      <c r="D32" s="26" t="s">
        <v>179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f t="shared" si="1"/>
        <v>0</v>
      </c>
    </row>
    <row r="33" spans="1:17" s="3" customFormat="1" ht="25.4" hidden="1" customHeight="1">
      <c r="A33" s="3" t="s">
        <v>180</v>
      </c>
      <c r="B33" s="50" t="s">
        <v>362</v>
      </c>
      <c r="D33" s="26" t="s">
        <v>181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f t="shared" si="1"/>
        <v>0</v>
      </c>
    </row>
    <row r="34" spans="1:17" s="3" customFormat="1" ht="25.4" hidden="1" customHeight="1">
      <c r="A34" s="3" t="s">
        <v>182</v>
      </c>
      <c r="B34" s="50" t="s">
        <v>362</v>
      </c>
      <c r="D34" s="26" t="s">
        <v>183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f t="shared" si="1"/>
        <v>0</v>
      </c>
    </row>
    <row r="35" spans="1:17" s="3" customFormat="1" ht="25.4" hidden="1" customHeight="1">
      <c r="A35" s="3" t="s">
        <v>184</v>
      </c>
      <c r="B35" s="50" t="s">
        <v>362</v>
      </c>
      <c r="D35" s="26" t="s">
        <v>185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f t="shared" si="1"/>
        <v>0</v>
      </c>
    </row>
    <row r="36" spans="1:17" s="3" customFormat="1" ht="25.4" hidden="1" customHeight="1">
      <c r="A36" s="3" t="s">
        <v>186</v>
      </c>
      <c r="B36" s="50" t="s">
        <v>362</v>
      </c>
      <c r="D36" s="26" t="s">
        <v>187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f t="shared" si="1"/>
        <v>0</v>
      </c>
    </row>
    <row r="37" spans="1:17" s="3" customFormat="1" ht="25.4" hidden="1" customHeight="1">
      <c r="A37" s="3" t="s">
        <v>188</v>
      </c>
      <c r="B37" s="50" t="s">
        <v>362</v>
      </c>
      <c r="D37" s="26" t="s">
        <v>189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f t="shared" si="1"/>
        <v>0</v>
      </c>
    </row>
    <row r="38" spans="1:17" s="3" customFormat="1" ht="25.4" hidden="1" customHeight="1">
      <c r="A38" s="3" t="s">
        <v>190</v>
      </c>
      <c r="B38" s="50" t="s">
        <v>362</v>
      </c>
      <c r="D38" s="26" t="s">
        <v>191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f t="shared" si="1"/>
        <v>0</v>
      </c>
    </row>
    <row r="39" spans="1:17" s="3" customFormat="1" ht="25.4" hidden="1" customHeight="1">
      <c r="A39" s="3" t="s">
        <v>192</v>
      </c>
      <c r="B39" s="50" t="s">
        <v>362</v>
      </c>
      <c r="D39" s="26" t="s">
        <v>193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f t="shared" si="1"/>
        <v>0</v>
      </c>
    </row>
    <row r="40" spans="1:17" s="3" customFormat="1" ht="25.4" hidden="1" customHeight="1">
      <c r="A40" s="3" t="s">
        <v>194</v>
      </c>
      <c r="B40" s="50" t="s">
        <v>362</v>
      </c>
      <c r="D40" s="26" t="s">
        <v>195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f t="shared" si="1"/>
        <v>0</v>
      </c>
    </row>
    <row r="41" spans="1:17" s="3" customFormat="1" ht="25.4" hidden="1" customHeight="1">
      <c r="A41" s="3" t="s">
        <v>196</v>
      </c>
      <c r="B41" s="50" t="s">
        <v>362</v>
      </c>
      <c r="D41" s="26" t="s">
        <v>197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f t="shared" si="1"/>
        <v>0</v>
      </c>
    </row>
    <row r="42" spans="1:17" s="3" customFormat="1" ht="25.4" customHeight="1">
      <c r="A42" s="3" t="s">
        <v>198</v>
      </c>
      <c r="B42" s="50" t="s">
        <v>362</v>
      </c>
      <c r="D42" s="26" t="s">
        <v>199</v>
      </c>
      <c r="E42" s="63">
        <f>12*E118</f>
        <v>24</v>
      </c>
      <c r="F42" s="63">
        <f t="shared" ref="F42:P42" si="2">12*F118</f>
        <v>24</v>
      </c>
      <c r="G42" s="63">
        <f t="shared" si="2"/>
        <v>24</v>
      </c>
      <c r="H42" s="63">
        <f t="shared" si="2"/>
        <v>24</v>
      </c>
      <c r="I42" s="63">
        <f t="shared" si="2"/>
        <v>24</v>
      </c>
      <c r="J42" s="63">
        <f t="shared" si="2"/>
        <v>24</v>
      </c>
      <c r="K42" s="63">
        <f t="shared" si="2"/>
        <v>24</v>
      </c>
      <c r="L42" s="63">
        <f t="shared" si="2"/>
        <v>24</v>
      </c>
      <c r="M42" s="63">
        <f t="shared" si="2"/>
        <v>24</v>
      </c>
      <c r="N42" s="63">
        <f t="shared" si="2"/>
        <v>24</v>
      </c>
      <c r="O42" s="63">
        <f t="shared" si="2"/>
        <v>24</v>
      </c>
      <c r="P42" s="63">
        <f t="shared" si="2"/>
        <v>24</v>
      </c>
      <c r="Q42" s="61">
        <f t="shared" si="1"/>
        <v>288</v>
      </c>
    </row>
    <row r="43" spans="1:17" s="3" customFormat="1" ht="25.4" customHeight="1">
      <c r="A43" s="3" t="s">
        <v>200</v>
      </c>
      <c r="B43" s="50" t="s">
        <v>362</v>
      </c>
      <c r="D43" s="26" t="s">
        <v>201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f t="shared" si="1"/>
        <v>0</v>
      </c>
    </row>
    <row r="44" spans="1:17" s="3" customFormat="1" ht="25.4" hidden="1" customHeight="1">
      <c r="A44" s="3" t="s">
        <v>202</v>
      </c>
      <c r="B44" s="50" t="s">
        <v>362</v>
      </c>
      <c r="D44" s="26" t="s">
        <v>203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f t="shared" si="1"/>
        <v>0</v>
      </c>
    </row>
    <row r="45" spans="1:17" s="3" customFormat="1" ht="25.4" hidden="1" customHeight="1">
      <c r="A45" s="3" t="s">
        <v>204</v>
      </c>
      <c r="B45" s="50" t="s">
        <v>362</v>
      </c>
      <c r="D45" s="26" t="s">
        <v>205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f t="shared" si="1"/>
        <v>0</v>
      </c>
    </row>
    <row r="46" spans="1:17" s="3" customFormat="1" ht="25.4" hidden="1" customHeight="1">
      <c r="A46" s="3" t="s">
        <v>206</v>
      </c>
      <c r="B46" s="50" t="s">
        <v>362</v>
      </c>
      <c r="D46" s="26" t="s">
        <v>207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f t="shared" si="1"/>
        <v>0</v>
      </c>
    </row>
    <row r="47" spans="1:17" s="3" customFormat="1" ht="25.4" hidden="1" customHeight="1">
      <c r="A47" s="3" t="s">
        <v>208</v>
      </c>
      <c r="B47" s="50" t="s">
        <v>362</v>
      </c>
      <c r="D47" s="26" t="s">
        <v>209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f t="shared" si="1"/>
        <v>0</v>
      </c>
    </row>
    <row r="48" spans="1:17" s="3" customFormat="1" ht="25.4" hidden="1" customHeight="1">
      <c r="A48" s="3" t="s">
        <v>210</v>
      </c>
      <c r="B48" s="50" t="s">
        <v>362</v>
      </c>
      <c r="D48" s="26" t="s">
        <v>211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f t="shared" si="1"/>
        <v>0</v>
      </c>
    </row>
    <row r="49" spans="1:17" s="3" customFormat="1" ht="25.4" hidden="1" customHeight="1">
      <c r="A49" s="3" t="s">
        <v>212</v>
      </c>
      <c r="B49" s="50" t="s">
        <v>362</v>
      </c>
      <c r="D49" s="26" t="s">
        <v>213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f t="shared" si="1"/>
        <v>0</v>
      </c>
    </row>
    <row r="50" spans="1:17" s="3" customFormat="1" ht="25.4" hidden="1" customHeight="1">
      <c r="A50" s="3" t="s">
        <v>214</v>
      </c>
      <c r="B50" s="50" t="s">
        <v>362</v>
      </c>
      <c r="D50" s="26" t="s">
        <v>215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f t="shared" si="1"/>
        <v>0</v>
      </c>
    </row>
    <row r="51" spans="1:17" s="3" customFormat="1" ht="25.4" hidden="1" customHeight="1">
      <c r="A51" s="3" t="s">
        <v>216</v>
      </c>
      <c r="B51" s="50" t="s">
        <v>362</v>
      </c>
      <c r="D51" s="26" t="s">
        <v>217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f t="shared" si="1"/>
        <v>0</v>
      </c>
    </row>
    <row r="52" spans="1:17" s="3" customFormat="1" ht="25.4" hidden="1" customHeight="1">
      <c r="A52" s="3" t="s">
        <v>218</v>
      </c>
      <c r="B52" s="50" t="s">
        <v>362</v>
      </c>
      <c r="D52" s="26" t="s">
        <v>219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f t="shared" si="1"/>
        <v>0</v>
      </c>
    </row>
    <row r="53" spans="1:17" s="3" customFormat="1" ht="25.4" hidden="1" customHeight="1">
      <c r="A53" s="3" t="s">
        <v>220</v>
      </c>
      <c r="B53" s="50" t="s">
        <v>362</v>
      </c>
      <c r="D53" s="26" t="s">
        <v>221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f t="shared" si="1"/>
        <v>0</v>
      </c>
    </row>
    <row r="54" spans="1:17" s="3" customFormat="1" ht="25.4" hidden="1" customHeight="1">
      <c r="A54" s="3" t="s">
        <v>222</v>
      </c>
      <c r="B54" s="50" t="s">
        <v>362</v>
      </c>
      <c r="D54" s="26" t="s">
        <v>223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f t="shared" si="1"/>
        <v>0</v>
      </c>
    </row>
    <row r="55" spans="1:17" s="3" customFormat="1" ht="25.4" hidden="1" customHeight="1">
      <c r="A55" s="3" t="s">
        <v>224</v>
      </c>
      <c r="B55" s="50" t="s">
        <v>362</v>
      </c>
      <c r="D55" s="26" t="s">
        <v>225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f t="shared" si="1"/>
        <v>0</v>
      </c>
    </row>
    <row r="56" spans="1:17" s="3" customFormat="1" ht="25.4" hidden="1" customHeight="1">
      <c r="A56" s="3" t="s">
        <v>226</v>
      </c>
      <c r="B56" s="50" t="s">
        <v>362</v>
      </c>
      <c r="D56" s="26" t="s">
        <v>227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f t="shared" si="1"/>
        <v>0</v>
      </c>
    </row>
    <row r="57" spans="1:17" s="3" customFormat="1" ht="25.4" hidden="1" customHeight="1">
      <c r="A57" s="3" t="s">
        <v>228</v>
      </c>
      <c r="B57" s="50" t="s">
        <v>362</v>
      </c>
      <c r="D57" s="26" t="s">
        <v>229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f t="shared" si="1"/>
        <v>0</v>
      </c>
    </row>
    <row r="58" spans="1:17" s="3" customFormat="1" ht="25.4" hidden="1" customHeight="1">
      <c r="A58" s="3" t="s">
        <v>230</v>
      </c>
      <c r="B58" s="50" t="s">
        <v>362</v>
      </c>
      <c r="D58" s="26" t="s">
        <v>231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f t="shared" si="1"/>
        <v>0</v>
      </c>
    </row>
    <row r="59" spans="1:17" s="3" customFormat="1" ht="25.4" hidden="1" customHeight="1">
      <c r="A59" s="3" t="s">
        <v>232</v>
      </c>
      <c r="B59" s="50" t="s">
        <v>362</v>
      </c>
      <c r="D59" s="26" t="s">
        <v>233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f t="shared" si="1"/>
        <v>0</v>
      </c>
    </row>
    <row r="60" spans="1:17" s="3" customFormat="1" ht="25.4" hidden="1" customHeight="1">
      <c r="A60" s="3" t="s">
        <v>234</v>
      </c>
      <c r="B60" s="50" t="s">
        <v>362</v>
      </c>
      <c r="D60" s="26" t="s">
        <v>235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f t="shared" si="1"/>
        <v>0</v>
      </c>
    </row>
    <row r="61" spans="1:17" s="3" customFormat="1" ht="25.4" hidden="1" customHeight="1">
      <c r="A61" s="3" t="s">
        <v>236</v>
      </c>
      <c r="B61" s="50" t="s">
        <v>362</v>
      </c>
      <c r="D61" s="26" t="s">
        <v>237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f t="shared" si="1"/>
        <v>0</v>
      </c>
    </row>
    <row r="62" spans="1:17" s="3" customFormat="1" ht="25.4" hidden="1" customHeight="1">
      <c r="A62" s="3" t="s">
        <v>238</v>
      </c>
      <c r="B62" s="50" t="s">
        <v>362</v>
      </c>
      <c r="D62" s="26" t="s">
        <v>239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f t="shared" si="1"/>
        <v>0</v>
      </c>
    </row>
    <row r="63" spans="1:17" s="3" customFormat="1" ht="25.4" hidden="1" customHeight="1">
      <c r="A63" s="3" t="s">
        <v>240</v>
      </c>
      <c r="B63" s="50" t="s">
        <v>362</v>
      </c>
      <c r="D63" s="26" t="s">
        <v>241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f t="shared" si="1"/>
        <v>0</v>
      </c>
    </row>
    <row r="64" spans="1:17" s="3" customFormat="1" ht="25.4" hidden="1" customHeight="1">
      <c r="A64" s="3" t="s">
        <v>242</v>
      </c>
      <c r="B64" s="50" t="s">
        <v>362</v>
      </c>
      <c r="D64" s="26" t="s">
        <v>243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f t="shared" si="1"/>
        <v>0</v>
      </c>
    </row>
    <row r="65" spans="1:18" s="3" customFormat="1" ht="25.4" hidden="1" customHeight="1">
      <c r="A65" s="3" t="s">
        <v>244</v>
      </c>
      <c r="B65" s="50" t="s">
        <v>362</v>
      </c>
      <c r="D65" s="26" t="s">
        <v>245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f t="shared" si="1"/>
        <v>0</v>
      </c>
    </row>
    <row r="66" spans="1:18" s="3" customFormat="1" ht="25.4" hidden="1" customHeight="1">
      <c r="A66" s="3" t="s">
        <v>246</v>
      </c>
      <c r="B66" s="50" t="s">
        <v>362</v>
      </c>
      <c r="D66" s="26" t="s">
        <v>247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f t="shared" si="1"/>
        <v>0</v>
      </c>
    </row>
    <row r="67" spans="1:18" s="3" customFormat="1" ht="25.4" customHeight="1">
      <c r="A67" s="3" t="s">
        <v>248</v>
      </c>
      <c r="B67" s="50" t="s">
        <v>362</v>
      </c>
      <c r="D67" s="26" t="s">
        <v>249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f t="shared" si="1"/>
        <v>0</v>
      </c>
    </row>
    <row r="68" spans="1:18" s="3" customFormat="1" ht="25.4" customHeight="1">
      <c r="A68" s="3" t="s">
        <v>250</v>
      </c>
      <c r="B68" s="50" t="s">
        <v>362</v>
      </c>
      <c r="D68" s="26" t="s">
        <v>251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f t="shared" si="1"/>
        <v>0</v>
      </c>
    </row>
    <row r="69" spans="1:18" s="3" customFormat="1" ht="25.4" customHeight="1">
      <c r="A69" s="3" t="s">
        <v>252</v>
      </c>
      <c r="B69" s="50" t="s">
        <v>362</v>
      </c>
      <c r="D69" s="26" t="s">
        <v>253</v>
      </c>
      <c r="E69" s="63">
        <v>584.6</v>
      </c>
      <c r="F69" s="63">
        <v>514.05999999999995</v>
      </c>
      <c r="G69" s="63">
        <v>500.82</v>
      </c>
      <c r="H69" s="63">
        <v>513.52</v>
      </c>
      <c r="I69" s="63">
        <v>505.7</v>
      </c>
      <c r="J69" s="63">
        <v>465.76</v>
      </c>
      <c r="K69" s="63">
        <v>452.66</v>
      </c>
      <c r="L69" s="63">
        <v>454.26</v>
      </c>
      <c r="M69" s="63">
        <v>463.58</v>
      </c>
      <c r="N69" s="63">
        <v>501.46</v>
      </c>
      <c r="O69" s="63">
        <v>449.42</v>
      </c>
      <c r="P69" s="63">
        <v>444.8</v>
      </c>
      <c r="Q69" s="61">
        <f t="shared" si="1"/>
        <v>5850.64</v>
      </c>
      <c r="R69" s="3">
        <f>+P69/2</f>
        <v>222.4</v>
      </c>
    </row>
    <row r="70" spans="1:18" s="3" customFormat="1" ht="25.4" customHeight="1">
      <c r="A70" s="3" t="s">
        <v>254</v>
      </c>
      <c r="B70" s="50" t="s">
        <v>362</v>
      </c>
      <c r="D70" s="26" t="s">
        <v>255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f t="shared" si="1"/>
        <v>0</v>
      </c>
    </row>
    <row r="71" spans="1:18" s="3" customFormat="1" ht="25.4" customHeight="1">
      <c r="A71" s="3" t="s">
        <v>256</v>
      </c>
      <c r="B71" s="50" t="s">
        <v>362</v>
      </c>
      <c r="D71" s="26" t="s">
        <v>257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f t="shared" si="1"/>
        <v>0</v>
      </c>
    </row>
    <row r="72" spans="1:18" s="3" customFormat="1" ht="25.4" customHeight="1">
      <c r="A72" s="3" t="s">
        <v>258</v>
      </c>
      <c r="B72" s="50" t="s">
        <v>362</v>
      </c>
      <c r="D72" s="26" t="s">
        <v>259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1">
        <v>0</v>
      </c>
      <c r="K72" s="61">
        <v>0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f t="shared" si="1"/>
        <v>0</v>
      </c>
    </row>
    <row r="73" spans="1:18" s="3" customFormat="1" ht="25.4" customHeight="1">
      <c r="A73" s="3" t="s">
        <v>260</v>
      </c>
      <c r="B73" s="50" t="s">
        <v>362</v>
      </c>
      <c r="D73" s="26" t="s">
        <v>261</v>
      </c>
      <c r="E73" s="63">
        <v>0</v>
      </c>
      <c r="F73" s="63">
        <v>0</v>
      </c>
      <c r="G73" s="63">
        <v>0</v>
      </c>
      <c r="H73" s="63">
        <v>0</v>
      </c>
      <c r="I73" s="63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f t="shared" si="1"/>
        <v>0</v>
      </c>
    </row>
    <row r="74" spans="1:18" s="3" customFormat="1" ht="25.4" customHeight="1">
      <c r="A74" s="3" t="s">
        <v>262</v>
      </c>
      <c r="B74" s="50" t="s">
        <v>362</v>
      </c>
      <c r="D74" s="26" t="s">
        <v>263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f t="shared" si="1"/>
        <v>0</v>
      </c>
    </row>
    <row r="75" spans="1:18" s="3" customFormat="1" ht="25.4" customHeight="1">
      <c r="A75" s="3" t="s">
        <v>264</v>
      </c>
      <c r="B75" s="50" t="s">
        <v>362</v>
      </c>
      <c r="D75" s="26" t="s">
        <v>265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f t="shared" si="1"/>
        <v>0</v>
      </c>
    </row>
    <row r="76" spans="1:18" s="3" customFormat="1" ht="25.4" customHeight="1">
      <c r="A76" s="3" t="s">
        <v>266</v>
      </c>
      <c r="B76" s="50" t="s">
        <v>362</v>
      </c>
      <c r="D76" s="26" t="s">
        <v>267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f t="shared" si="1"/>
        <v>0</v>
      </c>
    </row>
    <row r="77" spans="1:18" s="3" customFormat="1" ht="25.4" customHeight="1">
      <c r="A77" s="3" t="s">
        <v>268</v>
      </c>
      <c r="B77" s="50" t="s">
        <v>362</v>
      </c>
      <c r="D77" s="26" t="s">
        <v>269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1"/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f t="shared" si="1"/>
        <v>0</v>
      </c>
    </row>
    <row r="78" spans="1:18" s="3" customFormat="1" ht="25.4" customHeight="1">
      <c r="A78" s="3" t="s">
        <v>270</v>
      </c>
      <c r="B78" s="50" t="s">
        <v>362</v>
      </c>
      <c r="D78" s="26" t="s">
        <v>271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f t="shared" si="1"/>
        <v>0</v>
      </c>
    </row>
    <row r="79" spans="1:18" s="3" customFormat="1" ht="25.4" customHeight="1">
      <c r="A79" s="3" t="s">
        <v>272</v>
      </c>
      <c r="B79" s="50" t="s">
        <v>362</v>
      </c>
      <c r="D79" s="26" t="s">
        <v>273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f>SUM(E79:P79)</f>
        <v>0</v>
      </c>
    </row>
    <row r="80" spans="1:18" s="3" customFormat="1" ht="25.4" customHeight="1">
      <c r="A80" s="3" t="s">
        <v>274</v>
      </c>
      <c r="B80" s="50" t="s">
        <v>362</v>
      </c>
      <c r="D80" s="26" t="s">
        <v>275</v>
      </c>
      <c r="E80" s="63">
        <v>0</v>
      </c>
      <c r="F80" s="63">
        <v>0</v>
      </c>
      <c r="G80" s="63">
        <v>0</v>
      </c>
      <c r="H80" s="63"/>
      <c r="I80" s="63"/>
      <c r="J80" s="61"/>
      <c r="K80" s="61"/>
      <c r="L80" s="61"/>
      <c r="M80" s="61">
        <v>0</v>
      </c>
      <c r="N80" s="61">
        <v>0</v>
      </c>
      <c r="O80" s="61">
        <v>0</v>
      </c>
      <c r="P80" s="61">
        <v>0</v>
      </c>
      <c r="Q80" s="61">
        <f>SUM(E80:P80)</f>
        <v>0</v>
      </c>
    </row>
    <row r="81" spans="1:17" s="3" customFormat="1" ht="25.4" customHeight="1">
      <c r="D81" s="19" t="s">
        <v>276</v>
      </c>
      <c r="E81" s="151">
        <f>SUM(E14:E80)</f>
        <v>608.6</v>
      </c>
      <c r="F81" s="151">
        <f t="shared" ref="F81:Q81" si="3">SUM(F14:F80)</f>
        <v>538.05999999999995</v>
      </c>
      <c r="G81" s="151">
        <f t="shared" si="3"/>
        <v>524.81999999999994</v>
      </c>
      <c r="H81" s="151">
        <f t="shared" si="3"/>
        <v>537.52</v>
      </c>
      <c r="I81" s="151">
        <f t="shared" si="3"/>
        <v>529.70000000000005</v>
      </c>
      <c r="J81" s="151">
        <f t="shared" si="3"/>
        <v>489.76</v>
      </c>
      <c r="K81" s="151">
        <f t="shared" si="3"/>
        <v>476.66</v>
      </c>
      <c r="L81" s="151">
        <f t="shared" si="3"/>
        <v>478.26</v>
      </c>
      <c r="M81" s="151">
        <f t="shared" si="3"/>
        <v>487.58</v>
      </c>
      <c r="N81" s="151">
        <f t="shared" si="3"/>
        <v>525.46</v>
      </c>
      <c r="O81" s="151">
        <f t="shared" si="3"/>
        <v>473.42</v>
      </c>
      <c r="P81" s="151">
        <f t="shared" si="3"/>
        <v>468.8</v>
      </c>
      <c r="Q81" s="151">
        <f t="shared" si="3"/>
        <v>6138.64</v>
      </c>
    </row>
    <row r="82" spans="1:17" s="3" customFormat="1" ht="25.4" customHeight="1">
      <c r="D82" s="19" t="s">
        <v>357</v>
      </c>
      <c r="E82" s="151">
        <f>E81+E11</f>
        <v>70253.170000000013</v>
      </c>
      <c r="F82" s="151">
        <f t="shared" ref="F82:Q82" si="4">F81+F11</f>
        <v>70185.11</v>
      </c>
      <c r="G82" s="151">
        <f t="shared" si="4"/>
        <v>70102.030000000013</v>
      </c>
      <c r="H82" s="151">
        <f t="shared" si="4"/>
        <v>70121.210000000006</v>
      </c>
      <c r="I82" s="151">
        <f t="shared" si="4"/>
        <v>70053.069999999992</v>
      </c>
      <c r="J82" s="151">
        <f t="shared" si="4"/>
        <v>69967.75</v>
      </c>
      <c r="K82" s="151">
        <f t="shared" si="4"/>
        <v>69926.290000000008</v>
      </c>
      <c r="L82" s="151">
        <f t="shared" si="4"/>
        <v>69931.47</v>
      </c>
      <c r="M82" s="151">
        <f t="shared" si="4"/>
        <v>69943.930000000008</v>
      </c>
      <c r="N82" s="151">
        <f t="shared" si="4"/>
        <v>69991.670000000013</v>
      </c>
      <c r="O82" s="151">
        <f t="shared" si="4"/>
        <v>69913.009999999995</v>
      </c>
      <c r="P82" s="151">
        <f t="shared" si="4"/>
        <v>69899.73</v>
      </c>
      <c r="Q82" s="151">
        <f t="shared" si="4"/>
        <v>840288.43999999983</v>
      </c>
    </row>
    <row r="83" spans="1:17" s="3" customFormat="1" ht="25.4" customHeight="1"/>
    <row r="84" spans="1:17" s="3" customFormat="1" ht="25.4" customHeight="1">
      <c r="D84" s="19" t="s">
        <v>295</v>
      </c>
      <c r="L84" s="152"/>
    </row>
    <row r="85" spans="1:17" s="3" customFormat="1" ht="25.4" customHeight="1">
      <c r="D85" s="19" t="s">
        <v>296</v>
      </c>
      <c r="L85" s="152"/>
    </row>
    <row r="86" spans="1:17" s="3" customFormat="1" ht="25.4" customHeight="1">
      <c r="A86" s="3" t="s">
        <v>297</v>
      </c>
      <c r="B86" s="50" t="s">
        <v>362</v>
      </c>
      <c r="D86" s="3" t="s">
        <v>299</v>
      </c>
      <c r="E86" s="63">
        <v>48000</v>
      </c>
      <c r="F86" s="63">
        <v>48000</v>
      </c>
      <c r="G86" s="63">
        <v>48000</v>
      </c>
      <c r="H86" s="63">
        <v>48000</v>
      </c>
      <c r="I86" s="63">
        <v>48000</v>
      </c>
      <c r="J86" s="63">
        <v>48000</v>
      </c>
      <c r="K86" s="63">
        <v>48000</v>
      </c>
      <c r="L86" s="63">
        <v>48000</v>
      </c>
      <c r="M86" s="63">
        <v>48000</v>
      </c>
      <c r="N86" s="63">
        <v>48000</v>
      </c>
      <c r="O86" s="63">
        <v>48000</v>
      </c>
      <c r="P86" s="63">
        <v>48000</v>
      </c>
      <c r="Q86" s="61">
        <f>SUM(E86:P86)</f>
        <v>576000</v>
      </c>
    </row>
    <row r="87" spans="1:17" s="3" customFormat="1" ht="25.4" customHeight="1">
      <c r="A87" s="50" t="s">
        <v>300</v>
      </c>
      <c r="B87" s="50" t="s">
        <v>362</v>
      </c>
      <c r="D87" s="3" t="s">
        <v>361</v>
      </c>
      <c r="E87" s="63"/>
      <c r="F87" s="63"/>
      <c r="G87" s="63"/>
      <c r="H87" s="63"/>
      <c r="I87" s="63"/>
      <c r="J87" s="61"/>
      <c r="K87" s="61"/>
      <c r="L87" s="61"/>
      <c r="M87" s="61"/>
      <c r="N87" s="61"/>
      <c r="O87" s="61"/>
      <c r="P87" s="61"/>
      <c r="Q87" s="61">
        <f>SUM(E87:P87)</f>
        <v>0</v>
      </c>
    </row>
    <row r="88" spans="1:17" s="3" customFormat="1" ht="25.4" customHeight="1">
      <c r="D88" s="19" t="s">
        <v>307</v>
      </c>
      <c r="E88" s="151">
        <f t="shared" ref="E88:Q88" si="5">SUM(E86:E87)</f>
        <v>48000</v>
      </c>
      <c r="F88" s="151">
        <f t="shared" si="5"/>
        <v>48000</v>
      </c>
      <c r="G88" s="151">
        <f t="shared" si="5"/>
        <v>48000</v>
      </c>
      <c r="H88" s="151">
        <f t="shared" si="5"/>
        <v>48000</v>
      </c>
      <c r="I88" s="151">
        <f t="shared" si="5"/>
        <v>48000</v>
      </c>
      <c r="J88" s="151">
        <f t="shared" si="5"/>
        <v>48000</v>
      </c>
      <c r="K88" s="151">
        <f t="shared" si="5"/>
        <v>48000</v>
      </c>
      <c r="L88" s="151">
        <f t="shared" si="5"/>
        <v>48000</v>
      </c>
      <c r="M88" s="151">
        <f t="shared" si="5"/>
        <v>48000</v>
      </c>
      <c r="N88" s="151">
        <f t="shared" si="5"/>
        <v>48000</v>
      </c>
      <c r="O88" s="151">
        <f t="shared" si="5"/>
        <v>48000</v>
      </c>
      <c r="P88" s="151">
        <f t="shared" si="5"/>
        <v>48000</v>
      </c>
      <c r="Q88" s="151">
        <f t="shared" si="5"/>
        <v>576000</v>
      </c>
    </row>
    <row r="89" spans="1:17" s="3" customFormat="1" ht="25.4" customHeight="1">
      <c r="L89" s="152"/>
    </row>
    <row r="90" spans="1:17" s="3" customFormat="1" ht="25.4" customHeight="1">
      <c r="A90" s="3" t="s">
        <v>308</v>
      </c>
      <c r="B90" s="50" t="s">
        <v>362</v>
      </c>
      <c r="D90" s="26" t="s">
        <v>309</v>
      </c>
      <c r="E90" s="61"/>
      <c r="F90" s="63"/>
      <c r="G90" s="63"/>
      <c r="H90" s="63"/>
      <c r="I90" s="63"/>
      <c r="J90" s="61"/>
      <c r="K90" s="61"/>
      <c r="L90" s="61"/>
      <c r="M90" s="61"/>
      <c r="N90" s="61"/>
      <c r="O90" s="61"/>
      <c r="P90" s="61"/>
      <c r="Q90" s="61">
        <f>SUM(E90:P90)</f>
        <v>0</v>
      </c>
    </row>
    <row r="91" spans="1:17" s="3" customFormat="1" ht="25.4" customHeight="1">
      <c r="A91" s="3" t="s">
        <v>310</v>
      </c>
      <c r="B91" s="50" t="s">
        <v>362</v>
      </c>
      <c r="D91" s="26" t="s">
        <v>311</v>
      </c>
      <c r="E91" s="61">
        <v>600</v>
      </c>
      <c r="F91" s="61">
        <v>600</v>
      </c>
      <c r="G91" s="61">
        <v>600</v>
      </c>
      <c r="H91" s="61">
        <v>600</v>
      </c>
      <c r="I91" s="61">
        <v>600</v>
      </c>
      <c r="J91" s="61">
        <v>600</v>
      </c>
      <c r="K91" s="61">
        <v>600</v>
      </c>
      <c r="L91" s="61">
        <v>600</v>
      </c>
      <c r="M91" s="61">
        <v>600</v>
      </c>
      <c r="N91" s="61">
        <v>600</v>
      </c>
      <c r="O91" s="61">
        <v>600</v>
      </c>
      <c r="P91" s="61">
        <v>600</v>
      </c>
      <c r="Q91" s="61">
        <f>SUM(E91:P91)</f>
        <v>7200</v>
      </c>
    </row>
    <row r="92" spans="1:17" s="3" customFormat="1" ht="25.4" customHeight="1">
      <c r="A92" s="3" t="s">
        <v>312</v>
      </c>
      <c r="B92" s="50" t="s">
        <v>362</v>
      </c>
      <c r="D92" s="26" t="s">
        <v>313</v>
      </c>
      <c r="E92" s="61">
        <v>3800</v>
      </c>
      <c r="F92" s="61">
        <v>3800</v>
      </c>
      <c r="G92" s="61">
        <v>3800</v>
      </c>
      <c r="H92" s="61">
        <v>3800</v>
      </c>
      <c r="I92" s="61">
        <v>3800</v>
      </c>
      <c r="J92" s="61">
        <v>3800</v>
      </c>
      <c r="K92" s="61">
        <v>3800</v>
      </c>
      <c r="L92" s="61">
        <v>3800</v>
      </c>
      <c r="M92" s="61">
        <v>3800</v>
      </c>
      <c r="N92" s="61">
        <v>3800</v>
      </c>
      <c r="O92" s="61">
        <v>3800</v>
      </c>
      <c r="P92" s="61">
        <v>3800</v>
      </c>
      <c r="Q92" s="61">
        <f>SUM(E92:P92)</f>
        <v>45600</v>
      </c>
    </row>
    <row r="93" spans="1:17" s="3" customFormat="1" ht="25.4" customHeight="1">
      <c r="A93" s="3" t="s">
        <v>314</v>
      </c>
      <c r="B93" s="50" t="s">
        <v>362</v>
      </c>
      <c r="D93" s="26" t="s">
        <v>315</v>
      </c>
      <c r="E93" s="61"/>
      <c r="F93" s="63"/>
      <c r="G93" s="63"/>
      <c r="H93" s="63"/>
      <c r="I93" s="63"/>
      <c r="J93" s="61"/>
      <c r="K93" s="61"/>
      <c r="L93" s="61"/>
      <c r="M93" s="61"/>
      <c r="N93" s="61"/>
      <c r="O93" s="61"/>
      <c r="P93" s="61"/>
      <c r="Q93" s="61">
        <f>SUM(E93:P93)</f>
        <v>0</v>
      </c>
    </row>
    <row r="94" spans="1:17" s="3" customFormat="1" ht="25.4" customHeight="1">
      <c r="A94" s="3" t="s">
        <v>316</v>
      </c>
      <c r="B94" s="50" t="s">
        <v>362</v>
      </c>
      <c r="D94" s="26" t="s">
        <v>317</v>
      </c>
      <c r="E94" s="61"/>
      <c r="F94" s="63"/>
      <c r="G94" s="63"/>
      <c r="H94" s="63"/>
      <c r="I94" s="63"/>
      <c r="J94" s="61"/>
      <c r="K94" s="61"/>
      <c r="L94" s="61"/>
      <c r="M94" s="61"/>
      <c r="N94" s="61"/>
      <c r="O94" s="61"/>
      <c r="P94" s="61"/>
      <c r="Q94" s="61">
        <f>SUM(E94:P94)</f>
        <v>0</v>
      </c>
    </row>
    <row r="95" spans="1:17" s="3" customFormat="1" ht="25.4" customHeight="1">
      <c r="D95" s="19" t="s">
        <v>318</v>
      </c>
      <c r="E95" s="151">
        <f>SUM(E90:E94)</f>
        <v>4400</v>
      </c>
      <c r="F95" s="151">
        <f t="shared" ref="F95:Q95" si="6">SUM(F90:F94)</f>
        <v>4400</v>
      </c>
      <c r="G95" s="151">
        <f t="shared" si="6"/>
        <v>4400</v>
      </c>
      <c r="H95" s="151">
        <f t="shared" si="6"/>
        <v>4400</v>
      </c>
      <c r="I95" s="151">
        <f t="shared" si="6"/>
        <v>4400</v>
      </c>
      <c r="J95" s="151">
        <f t="shared" si="6"/>
        <v>4400</v>
      </c>
      <c r="K95" s="151">
        <f t="shared" si="6"/>
        <v>4400</v>
      </c>
      <c r="L95" s="151">
        <f t="shared" si="6"/>
        <v>4400</v>
      </c>
      <c r="M95" s="151">
        <f t="shared" si="6"/>
        <v>4400</v>
      </c>
      <c r="N95" s="151">
        <f t="shared" si="6"/>
        <v>4400</v>
      </c>
      <c r="O95" s="151">
        <f t="shared" si="6"/>
        <v>4400</v>
      </c>
      <c r="P95" s="151">
        <f t="shared" si="6"/>
        <v>4400</v>
      </c>
      <c r="Q95" s="151">
        <f t="shared" si="6"/>
        <v>52800</v>
      </c>
    </row>
    <row r="96" spans="1:17" s="3" customFormat="1" ht="25.4" customHeight="1">
      <c r="L96" s="152"/>
    </row>
    <row r="97" spans="1:17" s="3" customFormat="1" ht="25.4" customHeight="1">
      <c r="A97" s="3" t="s">
        <v>319</v>
      </c>
      <c r="B97" s="50" t="s">
        <v>362</v>
      </c>
      <c r="D97" s="26" t="s">
        <v>320</v>
      </c>
      <c r="E97" s="61">
        <v>6663.15</v>
      </c>
      <c r="F97" s="61">
        <v>6663.15</v>
      </c>
      <c r="G97" s="61">
        <v>6663.15</v>
      </c>
      <c r="H97" s="61">
        <v>6663.15</v>
      </c>
      <c r="I97" s="61">
        <v>6663.15</v>
      </c>
      <c r="J97" s="61">
        <v>6663.15</v>
      </c>
      <c r="K97" s="61">
        <v>6663.15</v>
      </c>
      <c r="L97" s="61">
        <v>6663.15</v>
      </c>
      <c r="M97" s="61">
        <v>6663.15</v>
      </c>
      <c r="N97" s="61">
        <v>6663.15</v>
      </c>
      <c r="O97" s="61">
        <v>6663.15</v>
      </c>
      <c r="P97" s="61">
        <v>6663.15</v>
      </c>
      <c r="Q97" s="61">
        <f t="shared" ref="Q97:Q104" si="7">SUM(E97:P97)</f>
        <v>79957.799999999988</v>
      </c>
    </row>
    <row r="98" spans="1:17" s="3" customFormat="1" ht="25.4" customHeight="1">
      <c r="A98" s="3" t="s">
        <v>321</v>
      </c>
      <c r="B98" s="50" t="s">
        <v>362</v>
      </c>
      <c r="D98" s="26" t="s">
        <v>322</v>
      </c>
      <c r="E98" s="61">
        <v>2267.46</v>
      </c>
      <c r="F98" s="61">
        <v>2267.46</v>
      </c>
      <c r="G98" s="61">
        <v>2267.46</v>
      </c>
      <c r="H98" s="61">
        <v>2267.46</v>
      </c>
      <c r="I98" s="61">
        <v>2267.46</v>
      </c>
      <c r="J98" s="61">
        <v>2267.46</v>
      </c>
      <c r="K98" s="61">
        <v>2267.46</v>
      </c>
      <c r="L98" s="61">
        <v>2267.46</v>
      </c>
      <c r="M98" s="61">
        <v>2267.46</v>
      </c>
      <c r="N98" s="61">
        <v>2267.46</v>
      </c>
      <c r="O98" s="61">
        <v>2267.46</v>
      </c>
      <c r="P98" s="61">
        <v>2267.46</v>
      </c>
      <c r="Q98" s="61">
        <f t="shared" si="7"/>
        <v>27209.519999999993</v>
      </c>
    </row>
    <row r="99" spans="1:17" s="3" customFormat="1" ht="25.4" customHeight="1">
      <c r="A99" s="3" t="s">
        <v>323</v>
      </c>
      <c r="B99" s="50" t="s">
        <v>362</v>
      </c>
      <c r="D99" s="26" t="s">
        <v>324</v>
      </c>
      <c r="E99" s="61">
        <v>384</v>
      </c>
      <c r="F99" s="61">
        <v>384</v>
      </c>
      <c r="G99" s="61">
        <v>384</v>
      </c>
      <c r="H99" s="61">
        <v>384</v>
      </c>
      <c r="I99" s="61">
        <v>384</v>
      </c>
      <c r="J99" s="61">
        <v>384</v>
      </c>
      <c r="K99" s="61">
        <v>384</v>
      </c>
      <c r="L99" s="61">
        <v>384</v>
      </c>
      <c r="M99" s="61">
        <v>384</v>
      </c>
      <c r="N99" s="61">
        <v>384</v>
      </c>
      <c r="O99" s="61">
        <v>384</v>
      </c>
      <c r="P99" s="61">
        <v>384</v>
      </c>
      <c r="Q99" s="61">
        <f t="shared" si="7"/>
        <v>4608</v>
      </c>
    </row>
    <row r="100" spans="1:17" s="3" customFormat="1" ht="25.4" customHeight="1">
      <c r="A100" s="3" t="s">
        <v>325</v>
      </c>
      <c r="B100" s="50" t="s">
        <v>362</v>
      </c>
      <c r="D100" s="26" t="s">
        <v>326</v>
      </c>
      <c r="E100" s="61">
        <v>192</v>
      </c>
      <c r="F100" s="61">
        <v>192</v>
      </c>
      <c r="G100" s="61">
        <v>192</v>
      </c>
      <c r="H100" s="61">
        <v>192</v>
      </c>
      <c r="I100" s="61">
        <v>192</v>
      </c>
      <c r="J100" s="61">
        <v>192</v>
      </c>
      <c r="K100" s="61">
        <v>192</v>
      </c>
      <c r="L100" s="61">
        <v>192</v>
      </c>
      <c r="M100" s="61">
        <v>192</v>
      </c>
      <c r="N100" s="61">
        <v>192</v>
      </c>
      <c r="O100" s="61">
        <v>192</v>
      </c>
      <c r="P100" s="61">
        <v>192</v>
      </c>
      <c r="Q100" s="61">
        <f t="shared" si="7"/>
        <v>2304</v>
      </c>
    </row>
    <row r="101" spans="1:17" s="3" customFormat="1" ht="25.4" customHeight="1">
      <c r="A101" s="3" t="s">
        <v>327</v>
      </c>
      <c r="B101" s="50" t="s">
        <v>362</v>
      </c>
      <c r="D101" s="26" t="s">
        <v>328</v>
      </c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>
        <f t="shared" si="7"/>
        <v>0</v>
      </c>
    </row>
    <row r="102" spans="1:17" s="3" customFormat="1" ht="25.4" customHeight="1">
      <c r="A102" s="3" t="s">
        <v>329</v>
      </c>
      <c r="B102" s="50" t="s">
        <v>362</v>
      </c>
      <c r="D102" s="26" t="s">
        <v>330</v>
      </c>
      <c r="E102" s="61">
        <v>3840</v>
      </c>
      <c r="F102" s="61">
        <v>3840</v>
      </c>
      <c r="G102" s="61">
        <v>3840</v>
      </c>
      <c r="H102" s="61">
        <v>3840</v>
      </c>
      <c r="I102" s="61">
        <v>3840</v>
      </c>
      <c r="J102" s="61">
        <v>3840</v>
      </c>
      <c r="K102" s="61">
        <v>3840</v>
      </c>
      <c r="L102" s="61">
        <v>3840</v>
      </c>
      <c r="M102" s="61">
        <v>3840</v>
      </c>
      <c r="N102" s="61">
        <v>3840</v>
      </c>
      <c r="O102" s="61">
        <v>3840</v>
      </c>
      <c r="P102" s="61">
        <v>3840</v>
      </c>
      <c r="Q102" s="61">
        <f t="shared" si="7"/>
        <v>46080</v>
      </c>
    </row>
    <row r="103" spans="1:17" s="3" customFormat="1" ht="25.4" customHeight="1">
      <c r="A103" s="3" t="s">
        <v>331</v>
      </c>
      <c r="B103" s="50" t="s">
        <v>362</v>
      </c>
      <c r="D103" s="26" t="s">
        <v>332</v>
      </c>
      <c r="E103" s="61">
        <v>960</v>
      </c>
      <c r="F103" s="61">
        <v>960</v>
      </c>
      <c r="G103" s="61">
        <v>960</v>
      </c>
      <c r="H103" s="61">
        <v>960</v>
      </c>
      <c r="I103" s="61">
        <v>960</v>
      </c>
      <c r="J103" s="61">
        <v>960</v>
      </c>
      <c r="K103" s="61">
        <v>960</v>
      </c>
      <c r="L103" s="61">
        <v>960</v>
      </c>
      <c r="M103" s="61">
        <v>960</v>
      </c>
      <c r="N103" s="61">
        <v>960</v>
      </c>
      <c r="O103" s="61">
        <v>960</v>
      </c>
      <c r="P103" s="61">
        <v>960</v>
      </c>
      <c r="Q103" s="61">
        <f t="shared" si="7"/>
        <v>11520</v>
      </c>
    </row>
    <row r="104" spans="1:17" s="3" customFormat="1" ht="25.4" customHeight="1">
      <c r="A104" s="3" t="s">
        <v>333</v>
      </c>
      <c r="B104" s="50" t="s">
        <v>362</v>
      </c>
      <c r="D104" s="26" t="s">
        <v>334</v>
      </c>
      <c r="E104" s="61"/>
      <c r="F104" s="63">
        <v>0</v>
      </c>
      <c r="G104" s="63">
        <v>0</v>
      </c>
      <c r="H104" s="63">
        <v>0</v>
      </c>
      <c r="I104" s="63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f t="shared" si="7"/>
        <v>0</v>
      </c>
    </row>
    <row r="105" spans="1:17" s="3" customFormat="1" ht="25.4" customHeight="1">
      <c r="D105" s="19" t="s">
        <v>335</v>
      </c>
      <c r="E105" s="151">
        <f>SUM(E97:E104)</f>
        <v>14306.61</v>
      </c>
      <c r="F105" s="151">
        <f t="shared" ref="F105:Q105" si="8">SUM(F97:F104)</f>
        <v>14306.61</v>
      </c>
      <c r="G105" s="151">
        <f t="shared" si="8"/>
        <v>14306.61</v>
      </c>
      <c r="H105" s="151">
        <f t="shared" si="8"/>
        <v>14306.61</v>
      </c>
      <c r="I105" s="151">
        <f t="shared" si="8"/>
        <v>14306.61</v>
      </c>
      <c r="J105" s="151">
        <f t="shared" si="8"/>
        <v>14306.61</v>
      </c>
      <c r="K105" s="151">
        <f t="shared" si="8"/>
        <v>14306.61</v>
      </c>
      <c r="L105" s="151">
        <f t="shared" si="8"/>
        <v>14306.61</v>
      </c>
      <c r="M105" s="151">
        <f t="shared" si="8"/>
        <v>14306.61</v>
      </c>
      <c r="N105" s="151">
        <f t="shared" si="8"/>
        <v>14306.61</v>
      </c>
      <c r="O105" s="151">
        <f t="shared" si="8"/>
        <v>14306.61</v>
      </c>
      <c r="P105" s="151">
        <f t="shared" si="8"/>
        <v>14306.61</v>
      </c>
      <c r="Q105" s="151">
        <f t="shared" si="8"/>
        <v>171679.31999999998</v>
      </c>
    </row>
    <row r="106" spans="1:17" s="3" customFormat="1" ht="25.4" customHeight="1">
      <c r="L106" s="152"/>
    </row>
    <row r="107" spans="1:17" s="3" customFormat="1" ht="25.4" customHeight="1">
      <c r="A107" s="3" t="s">
        <v>336</v>
      </c>
      <c r="B107" s="50" t="s">
        <v>362</v>
      </c>
      <c r="D107" s="26" t="s">
        <v>337</v>
      </c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>
        <f t="shared" ref="Q107:Q113" si="9">SUM(E107:P107)</f>
        <v>0</v>
      </c>
    </row>
    <row r="108" spans="1:17" s="3" customFormat="1" ht="25.4" customHeight="1">
      <c r="A108" s="3" t="s">
        <v>338</v>
      </c>
      <c r="B108" s="50" t="s">
        <v>362</v>
      </c>
      <c r="D108" s="3" t="s">
        <v>339</v>
      </c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>
        <f t="shared" si="9"/>
        <v>0</v>
      </c>
    </row>
    <row r="109" spans="1:17" s="3" customFormat="1" ht="25.4" customHeight="1">
      <c r="A109" s="3" t="s">
        <v>340</v>
      </c>
      <c r="B109" s="50" t="s">
        <v>362</v>
      </c>
      <c r="D109" s="26" t="s">
        <v>341</v>
      </c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>
        <f t="shared" si="9"/>
        <v>0</v>
      </c>
    </row>
    <row r="110" spans="1:17" s="3" customFormat="1" ht="25.4" customHeight="1">
      <c r="A110" s="3" t="s">
        <v>342</v>
      </c>
      <c r="B110" s="50" t="s">
        <v>362</v>
      </c>
      <c r="D110" s="26" t="s">
        <v>343</v>
      </c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>
        <f t="shared" si="9"/>
        <v>0</v>
      </c>
    </row>
    <row r="111" spans="1:17" s="3" customFormat="1" ht="25.4" customHeight="1">
      <c r="A111" s="3" t="s">
        <v>344</v>
      </c>
      <c r="B111" s="50" t="s">
        <v>362</v>
      </c>
      <c r="D111" s="26" t="s">
        <v>345</v>
      </c>
      <c r="E111" s="61">
        <v>120</v>
      </c>
      <c r="F111" s="61">
        <v>160</v>
      </c>
      <c r="G111" s="61">
        <v>120</v>
      </c>
      <c r="H111" s="61">
        <v>120</v>
      </c>
      <c r="I111" s="61">
        <v>120</v>
      </c>
      <c r="J111" s="61">
        <v>120</v>
      </c>
      <c r="K111" s="61">
        <v>120</v>
      </c>
      <c r="L111" s="61">
        <v>120</v>
      </c>
      <c r="M111" s="61">
        <v>120</v>
      </c>
      <c r="N111" s="61">
        <v>120</v>
      </c>
      <c r="O111" s="61">
        <v>120</v>
      </c>
      <c r="P111" s="61">
        <v>120</v>
      </c>
      <c r="Q111" s="61">
        <f t="shared" si="9"/>
        <v>1480</v>
      </c>
    </row>
    <row r="112" spans="1:17" s="3" customFormat="1" ht="25.4" customHeight="1">
      <c r="A112" s="3" t="s">
        <v>346</v>
      </c>
      <c r="B112" s="50" t="s">
        <v>362</v>
      </c>
      <c r="D112" s="26" t="s">
        <v>347</v>
      </c>
      <c r="E112" s="61">
        <v>711.46</v>
      </c>
      <c r="F112" s="61">
        <v>708.66</v>
      </c>
      <c r="G112" s="61">
        <v>705.88</v>
      </c>
      <c r="H112" s="61">
        <v>703.12</v>
      </c>
      <c r="I112" s="61">
        <v>684.42</v>
      </c>
      <c r="J112" s="61">
        <v>674.16</v>
      </c>
      <c r="K112" s="61">
        <v>661.76</v>
      </c>
      <c r="L112" s="61">
        <v>661.76</v>
      </c>
      <c r="M112" s="61">
        <v>656.94</v>
      </c>
      <c r="N112" s="61">
        <v>652.17999999999995</v>
      </c>
      <c r="O112" s="61">
        <v>649.82000000000005</v>
      </c>
      <c r="P112" s="61">
        <v>647.48</v>
      </c>
      <c r="Q112" s="61">
        <f t="shared" si="9"/>
        <v>8117.6399999999994</v>
      </c>
    </row>
    <row r="113" spans="1:17" s="3" customFormat="1" ht="25.4" customHeight="1">
      <c r="A113" s="3" t="s">
        <v>348</v>
      </c>
      <c r="B113" s="50" t="s">
        <v>362</v>
      </c>
      <c r="D113" s="26" t="s">
        <v>349</v>
      </c>
      <c r="E113" s="61">
        <v>2106.5</v>
      </c>
      <c r="F113" s="61">
        <v>2071.7800000000002</v>
      </c>
      <c r="G113" s="61">
        <v>2044.72</v>
      </c>
      <c r="H113" s="61">
        <v>2053.96</v>
      </c>
      <c r="I113" s="61">
        <v>2012.34</v>
      </c>
      <c r="J113" s="61">
        <v>1977.22</v>
      </c>
      <c r="K113" s="61">
        <v>1961.26</v>
      </c>
      <c r="L113" s="61">
        <v>1964.84</v>
      </c>
      <c r="M113" s="61">
        <v>1972.8</v>
      </c>
      <c r="N113" s="61">
        <v>1987.42</v>
      </c>
      <c r="O113" s="61">
        <v>1963.16</v>
      </c>
      <c r="P113" s="61">
        <v>1956.84</v>
      </c>
      <c r="Q113" s="61">
        <f t="shared" si="9"/>
        <v>24072.840000000004</v>
      </c>
    </row>
    <row r="114" spans="1:17" s="3" customFormat="1" ht="25.4" customHeight="1">
      <c r="B114" s="50"/>
      <c r="D114" s="19" t="s">
        <v>350</v>
      </c>
      <c r="E114" s="151">
        <f>SUM(E107:E113)</f>
        <v>2937.96</v>
      </c>
      <c r="F114" s="151">
        <f t="shared" ref="F114:Q114" si="10">SUM(F107:F113)</f>
        <v>2940.44</v>
      </c>
      <c r="G114" s="151">
        <f t="shared" si="10"/>
        <v>2870.6</v>
      </c>
      <c r="H114" s="151">
        <f t="shared" si="10"/>
        <v>2877.08</v>
      </c>
      <c r="I114" s="151">
        <f t="shared" si="10"/>
        <v>2816.7599999999998</v>
      </c>
      <c r="J114" s="151">
        <f t="shared" si="10"/>
        <v>2771.38</v>
      </c>
      <c r="K114" s="151">
        <f t="shared" si="10"/>
        <v>2743.02</v>
      </c>
      <c r="L114" s="151">
        <f t="shared" si="10"/>
        <v>2746.6</v>
      </c>
      <c r="M114" s="151">
        <f t="shared" si="10"/>
        <v>2749.74</v>
      </c>
      <c r="N114" s="151">
        <f t="shared" si="10"/>
        <v>2759.6</v>
      </c>
      <c r="O114" s="151">
        <f t="shared" si="10"/>
        <v>2732.98</v>
      </c>
      <c r="P114" s="151">
        <f t="shared" si="10"/>
        <v>2724.3199999999997</v>
      </c>
      <c r="Q114" s="151">
        <f t="shared" si="10"/>
        <v>33670.480000000003</v>
      </c>
    </row>
    <row r="115" spans="1:17" s="3" customFormat="1" ht="25.4" customHeight="1">
      <c r="D115" s="19" t="s">
        <v>351</v>
      </c>
      <c r="E115" s="151">
        <f>E88+E95+E105+E114</f>
        <v>69644.570000000007</v>
      </c>
      <c r="F115" s="151">
        <f t="shared" ref="F115:Q115" si="11">F88+F95+F105+F114</f>
        <v>69647.05</v>
      </c>
      <c r="G115" s="151">
        <f t="shared" si="11"/>
        <v>69577.210000000006</v>
      </c>
      <c r="H115" s="151">
        <f t="shared" si="11"/>
        <v>69583.69</v>
      </c>
      <c r="I115" s="151">
        <f t="shared" si="11"/>
        <v>69523.37</v>
      </c>
      <c r="J115" s="151">
        <f t="shared" si="11"/>
        <v>69477.990000000005</v>
      </c>
      <c r="K115" s="151">
        <f t="shared" si="11"/>
        <v>69449.63</v>
      </c>
      <c r="L115" s="151">
        <f t="shared" si="11"/>
        <v>69453.210000000006</v>
      </c>
      <c r="M115" s="151">
        <f t="shared" si="11"/>
        <v>69456.350000000006</v>
      </c>
      <c r="N115" s="151">
        <f t="shared" si="11"/>
        <v>69466.210000000006</v>
      </c>
      <c r="O115" s="151">
        <f t="shared" si="11"/>
        <v>69439.59</v>
      </c>
      <c r="P115" s="151">
        <f t="shared" si="11"/>
        <v>69430.929999999993</v>
      </c>
      <c r="Q115" s="151">
        <f t="shared" si="11"/>
        <v>834149.79999999993</v>
      </c>
    </row>
    <row r="116" spans="1:17" s="173" customFormat="1" ht="25.4" customHeight="1">
      <c r="A116" s="173" t="s">
        <v>352</v>
      </c>
      <c r="D116" s="173" t="s">
        <v>353</v>
      </c>
      <c r="L116" s="152"/>
    </row>
    <row r="117" spans="1:17" s="173" customFormat="1" ht="25.4" customHeight="1">
      <c r="L117" s="152"/>
    </row>
    <row r="118" spans="1:17" s="3" customFormat="1" ht="25.4" customHeight="1">
      <c r="A118" s="177" t="s">
        <v>108</v>
      </c>
      <c r="B118" s="50" t="s">
        <v>362</v>
      </c>
      <c r="D118" s="19" t="s">
        <v>354</v>
      </c>
      <c r="E118" s="65">
        <v>2</v>
      </c>
      <c r="F118" s="65">
        <v>2</v>
      </c>
      <c r="G118" s="65">
        <v>2</v>
      </c>
      <c r="H118" s="65">
        <v>2</v>
      </c>
      <c r="I118" s="65">
        <v>2</v>
      </c>
      <c r="J118" s="65">
        <v>2</v>
      </c>
      <c r="K118" s="65">
        <v>2</v>
      </c>
      <c r="L118" s="65">
        <v>2</v>
      </c>
      <c r="M118" s="65">
        <v>2</v>
      </c>
      <c r="N118" s="65">
        <v>2</v>
      </c>
      <c r="O118" s="65">
        <v>2</v>
      </c>
      <c r="P118" s="65">
        <v>2</v>
      </c>
      <c r="Q118" s="133">
        <f>SUM(E118:P118)/12</f>
        <v>2</v>
      </c>
    </row>
    <row r="120" spans="1:17" ht="26.25" customHeight="1">
      <c r="D120" s="58"/>
    </row>
  </sheetData>
  <phoneticPr fontId="56" type="noConversion"/>
  <dataValidations count="48">
    <dataValidation type="textLength" errorStyle="information" allowBlank="1" showInputMessage="1" showErrorMessage="1" error="XLBVal:6=2544_x000d__x000a_" sqref="Q118">
      <formula1>0</formula1>
      <formula2>300</formula2>
    </dataValidation>
    <dataValidation type="textLength" errorStyle="information" allowBlank="1" showInputMessage="1" showErrorMessage="1" sqref="E83:P83 H89:I89 H96:I96 H106:I106 E84:I85 E116:I117">
      <formula1>0</formula1>
      <formula2>300</formula2>
    </dataValidation>
    <dataValidation type="textLength" errorStyle="information" allowBlank="1" showInputMessage="1" showErrorMessage="1" error="XLBVal:6=3293096_x000d__x000a_" sqref="Q21">
      <formula1>0</formula1>
      <formula2>300</formula2>
    </dataValidation>
    <dataValidation type="textLength" errorStyle="information" allowBlank="1" showInputMessage="1" showErrorMessage="1" error="XLBVal:6=258096_x000d__x000a_" sqref="Q111">
      <formula1>0</formula1>
      <formula2>300</formula2>
    </dataValidation>
    <dataValidation type="textLength" errorStyle="information" allowBlank="1" showInputMessage="1" showErrorMessage="1" error="XLBVal:6=1439748_x000d__x000a_" sqref="Q97">
      <formula1>0</formula1>
      <formula2>300</formula2>
    </dataValidation>
    <dataValidation type="textLength" errorStyle="information" allowBlank="1" showInputMessage="1" showErrorMessage="1" error="XLBVal:6=265776_x000d__x000a_" sqref="Q80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877776_x000d__x000a_" sqref="Q112">
      <formula1>0</formula1>
      <formula2>300</formula2>
    </dataValidation>
    <dataValidation type="textLength" errorStyle="information" allowBlank="1" showInputMessage="1" showErrorMessage="1" error="XLBVal:2=0_x000d__x000a_" sqref="E11:P11 H70:L79 N23:Q23 Q70 Q72 E81:Q81 E118:P118 E87:P87 Q92 E90:P94 Q104 E14:E80 E97:P104 M70:P80 E86:Q86 M14:M23 E107:P113 N14:P22 O24:O32 Q107:Q110 P24:P30 Q15:Q20 Q26:Q27 P31:Q32 Q35:Q36 Q38:Q41 Q43:Q48 Q50:Q67 Q74:Q79 O33:P41 M24:N41 G14:L41 G42:G80 H42:P69 F12:F80">
      <formula1>0</formula1>
      <formula2>300</formula2>
    </dataValidation>
    <dataValidation type="textLength" errorStyle="information" allowBlank="1" showInputMessage="1" showErrorMessage="1" error="XLBVal:6=18155331_x000d__x000a_" sqref="Q11">
      <formula1>0</formula1>
      <formula2>300</formula2>
    </dataValidation>
    <dataValidation type="textLength" errorStyle="information" allowBlank="1" showInputMessage="1" showErrorMessage="1" error="XLBVal:6=38000_x000d__x000a_" sqref="Q25">
      <formula1>0</formula1>
      <formula2>300</formula2>
    </dataValidation>
    <dataValidation type="textLength" errorStyle="information" allowBlank="1" showInputMessage="1" showErrorMessage="1" error="XLBVal:6=10508400_x000d__x000a_" sqref="Q14">
      <formula1>0</formula1>
      <formula2>300</formula2>
    </dataValidation>
    <dataValidation type="textLength" errorStyle="information" allowBlank="1" showInputMessage="1" showErrorMessage="1" error="XLBVal:6=6595485.04_x000d__x000a_" sqref="G12:G13">
      <formula1>0</formula1>
      <formula2>300</formula2>
    </dataValidation>
    <dataValidation type="textLength" errorStyle="information" allowBlank="1" showInputMessage="1" showErrorMessage="1" error="XLBVal:6=224000_x000d__x000a_" sqref="Q22">
      <formula1>0</formula1>
      <formula2>300</formula2>
    </dataValidation>
    <dataValidation type="textLength" errorStyle="information" allowBlank="1" showInputMessage="1" showErrorMessage="1" error="XLBVal:6=0_x000d__x000a_" sqref="Q24 E82:Q82">
      <formula1>0</formula1>
      <formula2>300</formula2>
    </dataValidation>
    <dataValidation type="textLength" errorStyle="information" allowBlank="1" showInputMessage="1" showErrorMessage="1" error="XLBVal:6=30984_x000d__x000a_" sqref="Q28">
      <formula1>0</formula1>
      <formula2>300</formula2>
    </dataValidation>
    <dataValidation type="textLength" errorStyle="information" allowBlank="1" showInputMessage="1" showErrorMessage="1" error="XLBVal:6=6864605_x000d__x000a_" sqref="Q29">
      <formula1>0</formula1>
      <formula2>300</formula2>
    </dataValidation>
    <dataValidation type="textLength" errorStyle="information" allowBlank="1" showInputMessage="1" showErrorMessage="1" error="XLBVal:5=15426.66_x000d__x000a_" sqref="I12:I13">
      <formula1>0</formula1>
      <formula2>300</formula2>
    </dataValidation>
    <dataValidation type="textLength" errorStyle="information" allowBlank="1" showInputMessage="1" showErrorMessage="1" error="XLBVal:6=812280_x000d__x000a_" sqref="Q30">
      <formula1>0</formula1>
      <formula2>300</formula2>
    </dataValidation>
    <dataValidation type="textLength" errorStyle="information" allowBlank="1" showInputMessage="1" showErrorMessage="1" error="XLBVal:6=45391_x000d__x000a_" sqref="Q33">
      <formula1>0</formula1>
      <formula2>300</formula2>
    </dataValidation>
    <dataValidation type="textLength" errorStyle="information" allowBlank="1" showInputMessage="1" showErrorMessage="1" error="XLBVal:6=497071_x000d__x000a_" sqref="Q34">
      <formula1>0</formula1>
      <formula2>300</formula2>
    </dataValidation>
    <dataValidation type="textLength" errorStyle="information" allowBlank="1" showInputMessage="1" showErrorMessage="1" error="XLBVal:6=604513_x000d__x000a_" sqref="Q37">
      <formula1>0</formula1>
      <formula2>300</formula2>
    </dataValidation>
    <dataValidation type="textLength" errorStyle="information" allowBlank="1" showInputMessage="1" showErrorMessage="1" error="XLBVal:6=6688509.16_x000d__x000a_" sqref="E12:E13">
      <formula1>0</formula1>
      <formula2>300</formula2>
    </dataValidation>
    <dataValidation type="textLength" errorStyle="information" allowBlank="1" showInputMessage="1" showErrorMessage="1" error="XLBVal:6=133777_x000d__x000a_" sqref="Q42">
      <formula1>0</formula1>
      <formula2>300</formula2>
    </dataValidation>
    <dataValidation type="textLength" errorStyle="information" allowBlank="1" showInputMessage="1" showErrorMessage="1" error="XLBVal:6=31710_x000d__x000a_" sqref="Q100">
      <formula1>0</formula1>
      <formula2>300</formula2>
    </dataValidation>
    <dataValidation type="textLength" errorStyle="information" allowBlank="1" showInputMessage="1" showErrorMessage="1" error="XLBVal:6=1640556_x000d__x000a_" sqref="Q91">
      <formula1>0</formula1>
      <formula2>300</formula2>
    </dataValidation>
    <dataValidation type="textLength" errorStyle="information" allowBlank="1" showInputMessage="1" showErrorMessage="1" error="XLBVal:6=497000_x000d__x000a_" sqref="Q49">
      <formula1>0</formula1>
      <formula2>300</formula2>
    </dataValidation>
    <dataValidation type="textLength" errorStyle="information" allowBlank="1" showInputMessage="1" showErrorMessage="1" error="XLBVal:6=128852_x000d__x000a_" sqref="Q68">
      <formula1>0</formula1>
      <formula2>300</formula2>
    </dataValidation>
    <dataValidation type="textLength" errorStyle="information" allowBlank="1" showInputMessage="1" showErrorMessage="1" error="XLBVal:6=-34851.6_x000d__x000a_" sqref="H80">
      <formula1>0</formula1>
      <formula2>300</formula2>
    </dataValidation>
    <dataValidation type="textLength" errorStyle="information" allowBlank="1" showInputMessage="1" showErrorMessage="1" error="XLBVal:6=2195857_x000d__x000a_" sqref="Q69">
      <formula1>0</formula1>
      <formula2>300</formula2>
    </dataValidation>
    <dataValidation type="textLength" errorStyle="information" allowBlank="1" showInputMessage="1" showErrorMessage="1" error="XLBVal:6=913200_x000d__x000a_" sqref="Q71">
      <formula1>0</formula1>
      <formula2>300</formula2>
    </dataValidation>
    <dataValidation type="textLength" errorStyle="information" allowBlank="1" showInputMessage="1" showErrorMessage="1" error="XLBVal:6=78120_x000d__x000a_" sqref="Q73">
      <formula1>0</formula1>
      <formula2>300</formula2>
    </dataValidation>
    <dataValidation type="textLength" errorStyle="information" allowBlank="1" showInputMessage="1" showErrorMessage="1" error="XLBVal:6=-27892_x000d__x000a_" sqref="I80">
      <formula1>0</formula1>
      <formula2>300</formula2>
    </dataValidation>
    <dataValidation type="textLength" errorStyle="information" allowBlank="1" showInputMessage="1" showErrorMessage="1" error="XLBVal:6=-24811_x000d__x000a_" sqref="J80">
      <formula1>0</formula1>
      <formula2>300</formula2>
    </dataValidation>
    <dataValidation type="textLength" errorStyle="information" allowBlank="1" showInputMessage="1" showErrorMessage="1" error="XLBVal:6=-40236.9_x000d__x000a_" sqref="K80">
      <formula1>0</formula1>
      <formula2>300</formula2>
    </dataValidation>
    <dataValidation type="textLength" errorStyle="information" allowBlank="1" showInputMessage="1" showErrorMessage="1" error="XLBVal:6=-15009.3_x000d__x000a_" sqref="L80">
      <formula1>0</formula1>
      <formula2>300</formula2>
    </dataValidation>
    <dataValidation type="textLength" errorStyle="information" allowBlank="1" showInputMessage="1" showErrorMessage="1" error="XLBVal:6=2793648_x000d__x000a_" sqref="Q87">
      <formula1>0</formula1>
      <formula2>300</formula2>
    </dataValidation>
    <dataValidation type="textLength" errorStyle="information" allowBlank="1" showInputMessage="1" showErrorMessage="1" error="XLBVal:6=447561_x000d__x000a_" sqref="Q90">
      <formula1>0</formula1>
      <formula2>300</formula2>
    </dataValidation>
    <dataValidation type="textLength" errorStyle="information" allowBlank="1" showInputMessage="1" showErrorMessage="1" error="XLBVal:6=39534_x000d__x000a_" sqref="Q99">
      <formula1>0</formula1>
      <formula2>300</formula2>
    </dataValidation>
    <dataValidation type="textLength" errorStyle="information" allowBlank="1" showInputMessage="1" showErrorMessage="1" error="XLBVal:6=3_x000d__x000a_" sqref="Q93">
      <formula1>0</formula1>
      <formula2>300</formula2>
    </dataValidation>
    <dataValidation type="textLength" errorStyle="information" allowBlank="1" showInputMessage="1" showErrorMessage="1" error="XLBVal:6=639338_x000d__x000a_" sqref="Q94">
      <formula1>0</formula1>
      <formula2>300</formula2>
    </dataValidation>
    <dataValidation type="textLength" errorStyle="information" allowBlank="1" showInputMessage="1" showErrorMessage="1" error="XLBVal:6=632410_x000d__x000a_" sqref="Q98">
      <formula1>0</formula1>
      <formula2>300</formula2>
    </dataValidation>
    <dataValidation type="textLength" errorStyle="information" allowBlank="1" showInputMessage="1" showErrorMessage="1" error="XLBVal:6=39654_x000d__x000a_" sqref="Q101">
      <formula1>0</formula1>
      <formula2>300</formula2>
    </dataValidation>
    <dataValidation type="textLength" errorStyle="information" allowBlank="1" showInputMessage="1" showErrorMessage="1" error="XLBVal:6=354026_x000d__x000a_" sqref="Q102">
      <formula1>0</formula1>
      <formula2>300</formula2>
    </dataValidation>
    <dataValidation type="textLength" errorStyle="information" allowBlank="1" showInputMessage="1" showErrorMessage="1" error="XLBVal:6=234560_x000d__x000a_" sqref="Q103">
      <formula1>0</formula1>
      <formula2>300</formula2>
    </dataValidation>
    <dataValidation type="textLength" errorStyle="information" allowBlank="1" showInputMessage="1" showErrorMessage="1" error="XLBVal:6=3678_x000d__x000a_" sqref="E106:G106">
      <formula1>0</formula1>
      <formula2>300</formula2>
    </dataValidation>
    <dataValidation type="textLength" errorStyle="information" allowBlank="1" showInputMessage="1" showErrorMessage="1" error="XLBVal:6=3099839_x000d__x000a_" sqref="Q113">
      <formula1>0</formula1>
      <formula2>300</formula2>
    </dataValidation>
    <dataValidation type="textLength" errorStyle="information" allowBlank="1" showInputMessage="1" showErrorMessage="1" error="XLBVal:5=-2586288.67_x000d__x000a_" sqref="H12:H13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  <rowBreaks count="1" manualBreakCount="1">
    <brk id="82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CC66"/>
    <pageSetUpPr fitToPage="1"/>
  </sheetPr>
  <dimension ref="A1:AC210"/>
  <sheetViews>
    <sheetView zoomScale="50" zoomScaleNormal="50" zoomScaleSheetLayoutView="40" workbookViewId="0">
      <pane xSplit="4" ySplit="10" topLeftCell="E11" activePane="bottomRight" state="frozen"/>
      <selection activeCell="D9" sqref="D9"/>
      <selection pane="topRight" activeCell="D9" sqref="D9"/>
      <selection pane="bottomLeft" activeCell="D9" sqref="D9"/>
      <selection pane="bottomRight" activeCell="Q204" sqref="Q204"/>
    </sheetView>
  </sheetViews>
  <sheetFormatPr defaultColWidth="8.90625" defaultRowHeight="26.25" customHeight="1" outlineLevelRow="1" outlineLevelCol="1"/>
  <cols>
    <col min="1" max="1" width="20.08984375" style="5" hidden="1" customWidth="1" outlineLevel="1"/>
    <col min="2" max="3" width="15.453125" style="5" hidden="1" customWidth="1" outlineLevel="1"/>
    <col min="4" max="4" width="75.453125" style="6" customWidth="1" collapsed="1"/>
    <col min="5" max="9" width="24.90625" style="7" customWidth="1"/>
    <col min="10" max="11" width="24.90625" style="139" customWidth="1"/>
    <col min="12" max="12" width="24.90625" style="5" customWidth="1"/>
    <col min="13" max="16" width="24.90625" style="139" customWidth="1"/>
    <col min="17" max="17" width="28.453125" style="139" customWidth="1"/>
    <col min="18" max="18" width="28.453125" style="139" hidden="1" customWidth="1"/>
    <col min="19" max="19" width="12.453125" style="139" customWidth="1"/>
    <col min="20" max="20" width="13.453125" style="139" hidden="1" customWidth="1"/>
    <col min="21" max="21" width="22.453125" style="140" hidden="1" customWidth="1"/>
    <col min="22" max="22" width="22.453125" style="166" hidden="1" customWidth="1"/>
    <col min="23" max="23" width="22.90625" style="139" hidden="1" customWidth="1"/>
    <col min="24" max="24" width="9.36328125" style="139" hidden="1" customWidth="1"/>
    <col min="25" max="25" width="21.08984375" style="139" hidden="1" customWidth="1"/>
    <col min="26" max="26" width="16.36328125" style="139" hidden="1" customWidth="1"/>
    <col min="27" max="27" width="12.08984375" style="139" hidden="1" customWidth="1"/>
    <col min="28" max="28" width="0" style="139" hidden="1" customWidth="1"/>
    <col min="29" max="29" width="45.08984375" style="139" customWidth="1"/>
    <col min="30" max="16384" width="8.90625" style="139"/>
  </cols>
  <sheetData>
    <row r="1" spans="1:22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U1" s="32"/>
      <c r="V1" s="167"/>
    </row>
    <row r="2" spans="1:22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U2" s="32"/>
      <c r="V2" s="167"/>
    </row>
    <row r="3" spans="1:22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U3" s="32"/>
      <c r="V3" s="167"/>
    </row>
    <row r="4" spans="1:22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U4" s="147"/>
      <c r="V4" s="168"/>
    </row>
    <row r="5" spans="1:22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U5" s="147"/>
      <c r="V5" s="168"/>
    </row>
    <row r="6" spans="1:22" s="138" customFormat="1" ht="25.4" customHeight="1">
      <c r="D6" s="10" t="s">
        <v>364</v>
      </c>
      <c r="E6" s="143"/>
      <c r="F6" s="143"/>
      <c r="G6" s="143"/>
      <c r="H6" s="143"/>
      <c r="I6" s="143"/>
      <c r="L6" s="2"/>
      <c r="U6" s="147"/>
      <c r="V6" s="168"/>
    </row>
    <row r="7" spans="1:22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U7" s="147"/>
      <c r="V7" s="168"/>
    </row>
    <row r="8" spans="1:22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2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U9" s="109"/>
      <c r="V9" s="110"/>
    </row>
    <row r="10" spans="1:22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T10" s="34" t="s">
        <v>22</v>
      </c>
      <c r="U10" s="36" t="s">
        <v>23</v>
      </c>
      <c r="V10" s="37" t="s">
        <v>24</v>
      </c>
    </row>
    <row r="11" spans="1:22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U11" s="148"/>
      <c r="V11" s="40"/>
    </row>
    <row r="12" spans="1:22" s="77" customFormat="1" ht="25.4" customHeight="1">
      <c r="A12" s="50" t="s">
        <v>367</v>
      </c>
      <c r="B12" s="3" t="s">
        <v>368</v>
      </c>
      <c r="C12" s="3"/>
      <c r="D12" s="26" t="s">
        <v>369</v>
      </c>
      <c r="E12" s="146">
        <f>+'Lobby Lounge'!E17</f>
        <v>0</v>
      </c>
      <c r="F12" s="146">
        <f>+'Lobby Lounge'!F17</f>
        <v>0</v>
      </c>
      <c r="G12" s="146">
        <f>+'Lobby Lounge'!G17</f>
        <v>0</v>
      </c>
      <c r="H12" s="146">
        <f>+'Lobby Lounge'!H17</f>
        <v>0</v>
      </c>
      <c r="I12" s="146">
        <f>+'Lobby Lounge'!I17</f>
        <v>0</v>
      </c>
      <c r="J12" s="146">
        <f>+'Lobby Lounge'!J17</f>
        <v>0</v>
      </c>
      <c r="K12" s="146">
        <f>+'Lobby Lounge'!K17</f>
        <v>0</v>
      </c>
      <c r="L12" s="146">
        <f>+'Lobby Lounge'!L17</f>
        <v>0</v>
      </c>
      <c r="M12" s="146">
        <f>+'Lobby Lounge'!M17</f>
        <v>0</v>
      </c>
      <c r="N12" s="146">
        <f>+'Lobby Lounge'!N17</f>
        <v>0</v>
      </c>
      <c r="O12" s="146">
        <f>+'Lobby Lounge'!O17</f>
        <v>0</v>
      </c>
      <c r="P12" s="146">
        <f>+'Lobby Lounge'!P17</f>
        <v>0</v>
      </c>
      <c r="Q12" s="146">
        <f>SUM(E12:P12)</f>
        <v>0</v>
      </c>
      <c r="R12" s="146">
        <v>6534554.8399999999</v>
      </c>
      <c r="U12" s="148"/>
      <c r="V12" s="40">
        <f>IF(Q12-U12=0,0,(Q12-U12)/U12)</f>
        <v>0</v>
      </c>
    </row>
    <row r="13" spans="1:22" s="77" customFormat="1" ht="25.4" customHeight="1">
      <c r="A13" s="50" t="s">
        <v>367</v>
      </c>
      <c r="B13" s="3" t="s">
        <v>370</v>
      </c>
      <c r="C13" s="3"/>
      <c r="D13" s="26" t="s">
        <v>371</v>
      </c>
      <c r="E13" s="63">
        <f>+'Fangfei Lounge'!E17</f>
        <v>425200</v>
      </c>
      <c r="F13" s="63">
        <f>+'Fangfei Lounge'!F17</f>
        <v>522100</v>
      </c>
      <c r="G13" s="63">
        <f>+'Fangfei Lounge'!G17</f>
        <v>405900</v>
      </c>
      <c r="H13" s="63">
        <f>+'Fangfei Lounge'!H17</f>
        <v>417400</v>
      </c>
      <c r="I13" s="63">
        <f>+'Fangfei Lounge'!I17</f>
        <v>452800</v>
      </c>
      <c r="J13" s="63">
        <f>+'Fangfei Lounge'!J17</f>
        <v>411700</v>
      </c>
      <c r="K13" s="63">
        <f>+'Fangfei Lounge'!K17</f>
        <v>720800</v>
      </c>
      <c r="L13" s="63">
        <f>+'Fangfei Lounge'!L17</f>
        <v>745800</v>
      </c>
      <c r="M13" s="63">
        <f>+'Fangfei Lounge'!M17</f>
        <v>363400</v>
      </c>
      <c r="N13" s="63">
        <f>+'Fangfei Lounge'!N17</f>
        <v>569400</v>
      </c>
      <c r="O13" s="63">
        <f>+'Fangfei Lounge'!O17</f>
        <v>536800</v>
      </c>
      <c r="P13" s="63">
        <f>+'Fangfei Lounge'!P17</f>
        <v>602400</v>
      </c>
      <c r="Q13" s="134">
        <f>SUM(E13:P13)</f>
        <v>6173700</v>
      </c>
      <c r="R13" s="134">
        <v>7466792.5099999998</v>
      </c>
      <c r="U13" s="148"/>
      <c r="V13" s="40" t="e">
        <f t="shared" ref="V13:V27" si="0">IF(Q13-U13=0,0,(Q13-U13)/U13)</f>
        <v>#DIV/0!</v>
      </c>
    </row>
    <row r="14" spans="1:22" s="77" customFormat="1" ht="25.4" customHeight="1">
      <c r="A14" s="50" t="s">
        <v>367</v>
      </c>
      <c r="B14" s="3" t="s">
        <v>372</v>
      </c>
      <c r="C14" s="3"/>
      <c r="D14" s="26" t="s">
        <v>373</v>
      </c>
      <c r="E14" s="63">
        <f>+'Royal Court'!E17</f>
        <v>678900</v>
      </c>
      <c r="F14" s="63">
        <f>+'Royal Court'!F17</f>
        <v>678900</v>
      </c>
      <c r="G14" s="63">
        <f>+'Royal Court'!G17</f>
        <v>678900</v>
      </c>
      <c r="H14" s="63">
        <f>+'Royal Court'!H17</f>
        <v>678900</v>
      </c>
      <c r="I14" s="63">
        <f>+'Royal Court'!I17</f>
        <v>678900</v>
      </c>
      <c r="J14" s="63">
        <f>+'Royal Court'!J17</f>
        <v>678900</v>
      </c>
      <c r="K14" s="63">
        <f>+'Royal Court'!K17</f>
        <v>678900</v>
      </c>
      <c r="L14" s="63">
        <f>+'Royal Court'!L17</f>
        <v>678900</v>
      </c>
      <c r="M14" s="63">
        <f>+'Royal Court'!M17</f>
        <v>688200</v>
      </c>
      <c r="N14" s="63">
        <f>+'Royal Court'!N17</f>
        <v>697500</v>
      </c>
      <c r="O14" s="63">
        <f>+'Royal Court'!O17</f>
        <v>697500</v>
      </c>
      <c r="P14" s="63">
        <f>+'Royal Court'!P17</f>
        <v>697500</v>
      </c>
      <c r="Q14" s="134">
        <f>SUM(E14:P14)</f>
        <v>8211900</v>
      </c>
      <c r="R14" s="134">
        <v>8715631.9900000002</v>
      </c>
      <c r="U14" s="148"/>
      <c r="V14" s="40" t="e">
        <f t="shared" si="0"/>
        <v>#DIV/0!</v>
      </c>
    </row>
    <row r="15" spans="1:22" s="77" customFormat="1" ht="25.4" customHeight="1">
      <c r="A15" s="50" t="s">
        <v>367</v>
      </c>
      <c r="B15" s="3" t="s">
        <v>374</v>
      </c>
      <c r="C15" s="3"/>
      <c r="D15" s="26" t="s">
        <v>375</v>
      </c>
      <c r="E15" s="63">
        <f>+'MP Cafe'!E17</f>
        <v>0</v>
      </c>
      <c r="F15" s="63">
        <f>+'MP Cafe'!F17</f>
        <v>0</v>
      </c>
      <c r="G15" s="63">
        <f>+'MP Cafe'!G17</f>
        <v>0</v>
      </c>
      <c r="H15" s="63">
        <f>+'MP Cafe'!H17</f>
        <v>0</v>
      </c>
      <c r="I15" s="63">
        <f>+'MP Cafe'!I17</f>
        <v>0</v>
      </c>
      <c r="J15" s="63">
        <f>+'MP Cafe'!J17</f>
        <v>0</v>
      </c>
      <c r="K15" s="63">
        <f>+'MP Cafe'!K17</f>
        <v>0</v>
      </c>
      <c r="L15" s="63">
        <f>+'MP Cafe'!L17</f>
        <v>0</v>
      </c>
      <c r="M15" s="63">
        <f>+'MP Cafe'!M17</f>
        <v>0</v>
      </c>
      <c r="N15" s="63">
        <f>+'MP Cafe'!N17</f>
        <v>0</v>
      </c>
      <c r="O15" s="63">
        <f>+'MP Cafe'!O17</f>
        <v>0</v>
      </c>
      <c r="P15" s="63">
        <f>+'MP Cafe'!P17</f>
        <v>0</v>
      </c>
      <c r="Q15" s="134">
        <f>SUM(E15:P15)</f>
        <v>0</v>
      </c>
      <c r="R15" s="134">
        <v>456650</v>
      </c>
      <c r="U15" s="148"/>
      <c r="V15" s="40">
        <f t="shared" si="0"/>
        <v>0</v>
      </c>
    </row>
    <row r="16" spans="1:22" s="77" customFormat="1" ht="25.4" customHeight="1">
      <c r="A16" s="50" t="s">
        <v>367</v>
      </c>
      <c r="B16" s="3" t="s">
        <v>376</v>
      </c>
      <c r="C16" s="3"/>
      <c r="D16" s="26" t="s">
        <v>377</v>
      </c>
      <c r="E16" s="63">
        <f>+'Pingju Zhuhai'!E17</f>
        <v>542500</v>
      </c>
      <c r="F16" s="63">
        <f>+'Pingju Zhuhai'!F17</f>
        <v>490000</v>
      </c>
      <c r="G16" s="63">
        <f>+'Pingju Zhuhai'!G17</f>
        <v>542500</v>
      </c>
      <c r="H16" s="63">
        <f>+'Pingju Zhuhai'!H17</f>
        <v>525000</v>
      </c>
      <c r="I16" s="63">
        <f>+'Pingju Zhuhai'!I17</f>
        <v>542500</v>
      </c>
      <c r="J16" s="63">
        <f>+'Pingju Zhuhai'!J17</f>
        <v>525000</v>
      </c>
      <c r="K16" s="63">
        <f>+'Pingju Zhuhai'!K17</f>
        <v>542500</v>
      </c>
      <c r="L16" s="63">
        <f>+'Pingju Zhuhai'!L17</f>
        <v>542500</v>
      </c>
      <c r="M16" s="63">
        <f>+'Pingju Zhuhai'!M17</f>
        <v>525000</v>
      </c>
      <c r="N16" s="63">
        <f>+'Pingju Zhuhai'!N17</f>
        <v>542500</v>
      </c>
      <c r="O16" s="63">
        <f>+'Pingju Zhuhai'!O17</f>
        <v>525000</v>
      </c>
      <c r="P16" s="63">
        <f>+'Pingju Zhuhai'!P17</f>
        <v>542500</v>
      </c>
      <c r="Q16" s="134">
        <f>SUM(E16:P16)</f>
        <v>6387500</v>
      </c>
      <c r="R16" s="134">
        <v>422420</v>
      </c>
      <c r="U16" s="148"/>
      <c r="V16" s="40" t="e">
        <f t="shared" si="0"/>
        <v>#DIV/0!</v>
      </c>
    </row>
    <row r="17" spans="1:22" s="77" customFormat="1" ht="25.4" hidden="1" customHeight="1">
      <c r="A17" s="50" t="s">
        <v>367</v>
      </c>
      <c r="B17" s="3" t="s">
        <v>378</v>
      </c>
      <c r="C17" s="3"/>
      <c r="D17" s="26" t="s">
        <v>379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1">
        <v>0</v>
      </c>
      <c r="K17" s="146">
        <v>0</v>
      </c>
      <c r="L17" s="146">
        <v>0</v>
      </c>
      <c r="M17" s="146">
        <v>0</v>
      </c>
      <c r="N17" s="134">
        <v>0</v>
      </c>
      <c r="O17" s="134">
        <v>0</v>
      </c>
      <c r="P17" s="134">
        <v>0</v>
      </c>
      <c r="Q17" s="134">
        <f t="shared" ref="Q17:Q26" si="1">SUM(E17:P17)</f>
        <v>0</v>
      </c>
      <c r="R17" s="134">
        <v>0</v>
      </c>
      <c r="U17" s="148"/>
      <c r="V17" s="40">
        <f t="shared" si="0"/>
        <v>0</v>
      </c>
    </row>
    <row r="18" spans="1:22" s="77" customFormat="1" ht="25.4" hidden="1" customHeight="1">
      <c r="A18" s="50" t="s">
        <v>367</v>
      </c>
      <c r="B18" s="3" t="s">
        <v>380</v>
      </c>
      <c r="C18" s="3"/>
      <c r="D18" s="26" t="s">
        <v>381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1">
        <v>0</v>
      </c>
      <c r="K18" s="146">
        <v>0</v>
      </c>
      <c r="L18" s="146">
        <v>0</v>
      </c>
      <c r="M18" s="146">
        <v>0</v>
      </c>
      <c r="N18" s="134">
        <v>0</v>
      </c>
      <c r="O18" s="134">
        <v>0</v>
      </c>
      <c r="P18" s="134">
        <v>0</v>
      </c>
      <c r="Q18" s="134">
        <f t="shared" si="1"/>
        <v>0</v>
      </c>
      <c r="R18" s="134">
        <v>0</v>
      </c>
      <c r="U18" s="148"/>
      <c r="V18" s="40">
        <f t="shared" si="0"/>
        <v>0</v>
      </c>
    </row>
    <row r="19" spans="1:22" s="77" customFormat="1" ht="25.4" hidden="1" customHeight="1">
      <c r="A19" s="50" t="s">
        <v>367</v>
      </c>
      <c r="B19" s="3" t="s">
        <v>382</v>
      </c>
      <c r="C19" s="3"/>
      <c r="D19" s="26" t="s">
        <v>383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1">
        <v>0</v>
      </c>
      <c r="K19" s="146">
        <v>0</v>
      </c>
      <c r="L19" s="146">
        <v>0</v>
      </c>
      <c r="M19" s="146">
        <v>0</v>
      </c>
      <c r="N19" s="134">
        <v>0</v>
      </c>
      <c r="O19" s="134">
        <v>0</v>
      </c>
      <c r="P19" s="134">
        <v>0</v>
      </c>
      <c r="Q19" s="134">
        <f t="shared" si="1"/>
        <v>0</v>
      </c>
      <c r="R19" s="134">
        <v>0</v>
      </c>
      <c r="U19" s="148"/>
      <c r="V19" s="40">
        <f t="shared" si="0"/>
        <v>0</v>
      </c>
    </row>
    <row r="20" spans="1:22" s="77" customFormat="1" ht="25.4" hidden="1" customHeight="1">
      <c r="A20" s="50" t="s">
        <v>367</v>
      </c>
      <c r="B20" s="3" t="s">
        <v>384</v>
      </c>
      <c r="C20" s="3"/>
      <c r="D20" s="26" t="s">
        <v>385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1">
        <v>0</v>
      </c>
      <c r="K20" s="146">
        <v>0</v>
      </c>
      <c r="L20" s="146">
        <v>0</v>
      </c>
      <c r="M20" s="146">
        <v>0</v>
      </c>
      <c r="N20" s="134">
        <v>0</v>
      </c>
      <c r="O20" s="134">
        <v>0</v>
      </c>
      <c r="P20" s="134">
        <v>0</v>
      </c>
      <c r="Q20" s="134">
        <f t="shared" si="1"/>
        <v>0</v>
      </c>
      <c r="R20" s="134">
        <v>0</v>
      </c>
      <c r="U20" s="148"/>
      <c r="V20" s="40">
        <f t="shared" si="0"/>
        <v>0</v>
      </c>
    </row>
    <row r="21" spans="1:22" s="77" customFormat="1" ht="25.4" hidden="1" customHeight="1">
      <c r="A21" s="50" t="s">
        <v>367</v>
      </c>
      <c r="B21" s="3" t="s">
        <v>386</v>
      </c>
      <c r="C21" s="3"/>
      <c r="D21" s="26" t="s">
        <v>369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1">
        <v>0</v>
      </c>
      <c r="K21" s="146">
        <v>0</v>
      </c>
      <c r="L21" s="146">
        <v>0</v>
      </c>
      <c r="M21" s="146">
        <v>0</v>
      </c>
      <c r="N21" s="134">
        <v>0</v>
      </c>
      <c r="O21" s="134">
        <v>0</v>
      </c>
      <c r="P21" s="134">
        <v>0</v>
      </c>
      <c r="Q21" s="134">
        <f t="shared" si="1"/>
        <v>0</v>
      </c>
      <c r="R21" s="134">
        <v>0</v>
      </c>
      <c r="U21" s="148"/>
      <c r="V21" s="40">
        <f t="shared" si="0"/>
        <v>0</v>
      </c>
    </row>
    <row r="22" spans="1:22" s="77" customFormat="1" ht="25.4" hidden="1" customHeight="1">
      <c r="A22" s="50" t="s">
        <v>367</v>
      </c>
      <c r="B22" s="3" t="s">
        <v>387</v>
      </c>
      <c r="C22" s="3"/>
      <c r="D22" s="26" t="s">
        <v>388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1">
        <v>0</v>
      </c>
      <c r="K22" s="146">
        <v>0</v>
      </c>
      <c r="L22" s="146">
        <v>0</v>
      </c>
      <c r="M22" s="146">
        <v>0</v>
      </c>
      <c r="N22" s="134">
        <v>0</v>
      </c>
      <c r="O22" s="134">
        <v>0</v>
      </c>
      <c r="P22" s="134">
        <v>0</v>
      </c>
      <c r="Q22" s="134">
        <f t="shared" si="1"/>
        <v>0</v>
      </c>
      <c r="R22" s="134">
        <v>0</v>
      </c>
      <c r="U22" s="148"/>
      <c r="V22" s="40">
        <f t="shared" si="0"/>
        <v>0</v>
      </c>
    </row>
    <row r="23" spans="1:22" s="77" customFormat="1" ht="25.4" hidden="1" customHeight="1">
      <c r="A23" s="50" t="s">
        <v>367</v>
      </c>
      <c r="B23" s="3" t="s">
        <v>389</v>
      </c>
      <c r="C23" s="3"/>
      <c r="D23" s="26" t="s">
        <v>390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1">
        <v>0</v>
      </c>
      <c r="K23" s="146">
        <v>0</v>
      </c>
      <c r="L23" s="146">
        <v>0</v>
      </c>
      <c r="M23" s="146">
        <v>0</v>
      </c>
      <c r="N23" s="134">
        <v>0</v>
      </c>
      <c r="O23" s="134">
        <v>0</v>
      </c>
      <c r="P23" s="134">
        <v>0</v>
      </c>
      <c r="Q23" s="134">
        <f t="shared" si="1"/>
        <v>0</v>
      </c>
      <c r="R23" s="134">
        <v>0</v>
      </c>
      <c r="U23" s="148"/>
      <c r="V23" s="40">
        <f t="shared" si="0"/>
        <v>0</v>
      </c>
    </row>
    <row r="24" spans="1:22" s="77" customFormat="1" ht="25.4" hidden="1" customHeight="1">
      <c r="A24" s="50" t="s">
        <v>367</v>
      </c>
      <c r="B24" s="3" t="s">
        <v>391</v>
      </c>
      <c r="C24" s="3"/>
      <c r="D24" s="26" t="s">
        <v>392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1">
        <v>0</v>
      </c>
      <c r="K24" s="146">
        <v>0</v>
      </c>
      <c r="L24" s="146">
        <v>0</v>
      </c>
      <c r="M24" s="146">
        <v>0</v>
      </c>
      <c r="N24" s="134">
        <v>0</v>
      </c>
      <c r="O24" s="134">
        <v>0</v>
      </c>
      <c r="P24" s="134">
        <v>0</v>
      </c>
      <c r="Q24" s="134">
        <f t="shared" si="1"/>
        <v>0</v>
      </c>
      <c r="R24" s="134">
        <v>0</v>
      </c>
      <c r="U24" s="148"/>
      <c r="V24" s="40">
        <f t="shared" si="0"/>
        <v>0</v>
      </c>
    </row>
    <row r="25" spans="1:22" s="77" customFormat="1" ht="25.4" customHeight="1">
      <c r="A25" s="50" t="s">
        <v>367</v>
      </c>
      <c r="B25" s="3" t="s">
        <v>393</v>
      </c>
      <c r="C25" s="3"/>
      <c r="D25" s="26" t="s">
        <v>394</v>
      </c>
      <c r="E25" s="63">
        <f>+'Room Service'!E17</f>
        <v>4300</v>
      </c>
      <c r="F25" s="63">
        <f>+'Room Service'!F17</f>
        <v>4000</v>
      </c>
      <c r="G25" s="63">
        <f>+'Room Service'!G17</f>
        <v>4300</v>
      </c>
      <c r="H25" s="63">
        <f>+'Room Service'!H17</f>
        <v>4150</v>
      </c>
      <c r="I25" s="63">
        <f>+'Room Service'!I17</f>
        <v>4300</v>
      </c>
      <c r="J25" s="63">
        <f>+'Room Service'!J17</f>
        <v>4150</v>
      </c>
      <c r="K25" s="63">
        <f>+'Room Service'!K17</f>
        <v>4300</v>
      </c>
      <c r="L25" s="63">
        <f>+'Room Service'!L17</f>
        <v>4300</v>
      </c>
      <c r="M25" s="63">
        <f>+'Room Service'!M17</f>
        <v>4150</v>
      </c>
      <c r="N25" s="63">
        <f>+'Room Service'!N17</f>
        <v>4300</v>
      </c>
      <c r="O25" s="63">
        <f>+'Room Service'!O17</f>
        <v>4150</v>
      </c>
      <c r="P25" s="63">
        <f>+'Room Service'!P17</f>
        <v>4300</v>
      </c>
      <c r="Q25" s="134">
        <f t="shared" si="1"/>
        <v>50700</v>
      </c>
      <c r="R25" s="134">
        <v>606306.66</v>
      </c>
      <c r="U25" s="148"/>
      <c r="V25" s="40" t="e">
        <f t="shared" si="0"/>
        <v>#DIV/0!</v>
      </c>
    </row>
    <row r="26" spans="1:22" s="19" customFormat="1" ht="25.4" customHeight="1">
      <c r="A26" s="50" t="s">
        <v>367</v>
      </c>
      <c r="B26" s="3" t="s">
        <v>395</v>
      </c>
      <c r="D26" s="26" t="s">
        <v>396</v>
      </c>
      <c r="E26" s="63">
        <f>+Banquet!E17</f>
        <v>684700</v>
      </c>
      <c r="F26" s="63">
        <f>+Banquet!F17</f>
        <v>24500</v>
      </c>
      <c r="G26" s="63">
        <f>+Banquet!G17</f>
        <v>1006840</v>
      </c>
      <c r="H26" s="63">
        <f>+Banquet!H17</f>
        <v>625600</v>
      </c>
      <c r="I26" s="63">
        <f>+Banquet!I17</f>
        <v>994000</v>
      </c>
      <c r="J26" s="63">
        <f>+Banquet!J17</f>
        <v>841800</v>
      </c>
      <c r="K26" s="63">
        <f>+Banquet!K17</f>
        <v>710000</v>
      </c>
      <c r="L26" s="63">
        <f>+Banquet!L17</f>
        <v>482000</v>
      </c>
      <c r="M26" s="63">
        <f>+Banquet!M17</f>
        <v>111000</v>
      </c>
      <c r="N26" s="63">
        <f>+Banquet!N17</f>
        <v>1904800</v>
      </c>
      <c r="O26" s="63">
        <f>+Banquet!O17</f>
        <v>1599100</v>
      </c>
      <c r="P26" s="63">
        <f>+Banquet!P17</f>
        <v>1287800</v>
      </c>
      <c r="Q26" s="134">
        <f t="shared" si="1"/>
        <v>10272140</v>
      </c>
      <c r="R26" s="61">
        <v>7292693.96</v>
      </c>
      <c r="U26" s="148"/>
      <c r="V26" s="40" t="e">
        <f t="shared" si="0"/>
        <v>#DIV/0!</v>
      </c>
    </row>
    <row r="27" spans="1:22" s="77" customFormat="1" ht="25.4" customHeight="1">
      <c r="A27" s="3"/>
      <c r="B27" s="3"/>
      <c r="C27" s="3"/>
      <c r="D27" s="21" t="s">
        <v>397</v>
      </c>
      <c r="E27" s="45">
        <f>SUM(E12:E26)</f>
        <v>2335600</v>
      </c>
      <c r="F27" s="45">
        <f t="shared" ref="F27:Q27" si="2">SUM(F12:F26)</f>
        <v>1719500</v>
      </c>
      <c r="G27" s="45">
        <f t="shared" si="2"/>
        <v>2638440</v>
      </c>
      <c r="H27" s="45">
        <f t="shared" si="2"/>
        <v>2251050</v>
      </c>
      <c r="I27" s="45">
        <f t="shared" si="2"/>
        <v>2672500</v>
      </c>
      <c r="J27" s="45">
        <f t="shared" si="2"/>
        <v>2461550</v>
      </c>
      <c r="K27" s="45">
        <f t="shared" si="2"/>
        <v>2656500</v>
      </c>
      <c r="L27" s="45">
        <f t="shared" si="2"/>
        <v>2453500</v>
      </c>
      <c r="M27" s="45">
        <f t="shared" si="2"/>
        <v>1691750</v>
      </c>
      <c r="N27" s="45">
        <f t="shared" si="2"/>
        <v>3718500</v>
      </c>
      <c r="O27" s="45">
        <f t="shared" si="2"/>
        <v>3362550</v>
      </c>
      <c r="P27" s="45">
        <f t="shared" si="2"/>
        <v>3134500</v>
      </c>
      <c r="Q27" s="45">
        <f t="shared" si="2"/>
        <v>31095940</v>
      </c>
      <c r="R27" s="45">
        <v>31495049.960000001</v>
      </c>
      <c r="U27" s="148"/>
      <c r="V27" s="40" t="e">
        <f t="shared" si="0"/>
        <v>#DIV/0!</v>
      </c>
    </row>
    <row r="28" spans="1:22" s="77" customFormat="1" ht="25.4" customHeight="1">
      <c r="A28" s="3"/>
      <c r="B28" s="3"/>
      <c r="C28" s="3"/>
      <c r="D28" s="2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U28" s="148"/>
      <c r="V28" s="40"/>
    </row>
    <row r="29" spans="1:22" s="77" customFormat="1" ht="25.4" customHeight="1">
      <c r="A29" s="3"/>
      <c r="B29" s="3"/>
      <c r="C29" s="3"/>
      <c r="D29" s="21" t="s">
        <v>398</v>
      </c>
      <c r="E29" s="106"/>
      <c r="F29" s="63"/>
      <c r="G29" s="63"/>
      <c r="H29" s="63"/>
      <c r="I29" s="63"/>
      <c r="J29" s="3"/>
      <c r="K29" s="3"/>
      <c r="L29" s="152"/>
      <c r="U29" s="148"/>
      <c r="V29" s="40"/>
    </row>
    <row r="30" spans="1:22" s="77" customFormat="1" ht="25.4" customHeight="1">
      <c r="A30" s="50" t="s">
        <v>399</v>
      </c>
      <c r="B30" s="3" t="s">
        <v>368</v>
      </c>
      <c r="C30" s="3"/>
      <c r="D30" s="26" t="s">
        <v>400</v>
      </c>
      <c r="E30" s="63">
        <f>+'Lobby Lounge'!E25</f>
        <v>0</v>
      </c>
      <c r="F30" s="63">
        <f>+'Lobby Lounge'!F25</f>
        <v>0</v>
      </c>
      <c r="G30" s="63">
        <f>+'Lobby Lounge'!G25</f>
        <v>0</v>
      </c>
      <c r="H30" s="63">
        <f>+'Lobby Lounge'!H25</f>
        <v>0</v>
      </c>
      <c r="I30" s="63">
        <f>+'Lobby Lounge'!I25</f>
        <v>0</v>
      </c>
      <c r="J30" s="63">
        <f>+'Lobby Lounge'!J25</f>
        <v>0</v>
      </c>
      <c r="K30" s="63">
        <f>+'Lobby Lounge'!K25</f>
        <v>0</v>
      </c>
      <c r="L30" s="63">
        <f>+'Lobby Lounge'!L25</f>
        <v>0</v>
      </c>
      <c r="M30" s="63">
        <f>+'Lobby Lounge'!M25</f>
        <v>0</v>
      </c>
      <c r="N30" s="63">
        <f>+'Lobby Lounge'!N25</f>
        <v>0</v>
      </c>
      <c r="O30" s="63">
        <f>+'Lobby Lounge'!O25</f>
        <v>0</v>
      </c>
      <c r="P30" s="63">
        <f>+'Lobby Lounge'!P25</f>
        <v>0</v>
      </c>
      <c r="Q30" s="134">
        <f>SUM(E30:P30)</f>
        <v>0</v>
      </c>
      <c r="R30" s="134">
        <v>228172.83</v>
      </c>
      <c r="U30" s="148"/>
      <c r="V30" s="40">
        <f t="shared" ref="V30:V50" si="3">IF(Q30-U30=0,0,(Q30-U30)/U30)</f>
        <v>0</v>
      </c>
    </row>
    <row r="31" spans="1:22" s="77" customFormat="1" ht="25.4" customHeight="1">
      <c r="A31" s="50" t="s">
        <v>399</v>
      </c>
      <c r="B31" s="3" t="s">
        <v>370</v>
      </c>
      <c r="C31" s="3"/>
      <c r="D31" s="26" t="s">
        <v>371</v>
      </c>
      <c r="E31" s="63">
        <f>+'Fangfei Lounge'!E25</f>
        <v>5580</v>
      </c>
      <c r="F31" s="63">
        <f>+'Fangfei Lounge'!F25</f>
        <v>5600</v>
      </c>
      <c r="G31" s="63">
        <f>+'Fangfei Lounge'!G25</f>
        <v>6820</v>
      </c>
      <c r="H31" s="63">
        <f>+'Fangfei Lounge'!H25</f>
        <v>6600</v>
      </c>
      <c r="I31" s="63">
        <f>+'Fangfei Lounge'!I25</f>
        <v>6820</v>
      </c>
      <c r="J31" s="63">
        <f>+'Fangfei Lounge'!J25</f>
        <v>6600</v>
      </c>
      <c r="K31" s="63">
        <f>+'Fangfei Lounge'!K25</f>
        <v>8060</v>
      </c>
      <c r="L31" s="63">
        <f>+'Fangfei Lounge'!L25</f>
        <v>8060</v>
      </c>
      <c r="M31" s="63">
        <f>+'Fangfei Lounge'!M25</f>
        <v>7800</v>
      </c>
      <c r="N31" s="63">
        <f>+'Fangfei Lounge'!N25</f>
        <v>8060</v>
      </c>
      <c r="O31" s="63">
        <f>+'Fangfei Lounge'!O25</f>
        <v>7800</v>
      </c>
      <c r="P31" s="63">
        <f>+'Fangfei Lounge'!P25</f>
        <v>8060</v>
      </c>
      <c r="Q31" s="134">
        <f>SUM(E31:P31)</f>
        <v>85860</v>
      </c>
      <c r="R31" s="134">
        <v>658292.18000000005</v>
      </c>
      <c r="U31" s="148"/>
      <c r="V31" s="40" t="e">
        <f t="shared" si="3"/>
        <v>#DIV/0!</v>
      </c>
    </row>
    <row r="32" spans="1:22" s="77" customFormat="1" ht="25.4" hidden="1" customHeight="1">
      <c r="A32" s="50" t="s">
        <v>399</v>
      </c>
      <c r="B32" s="3" t="s">
        <v>372</v>
      </c>
      <c r="C32" s="3"/>
      <c r="D32" s="26" t="s">
        <v>373</v>
      </c>
      <c r="E32" s="63">
        <f>+'Royal Court'!E25</f>
        <v>21390</v>
      </c>
      <c r="F32" s="63">
        <f>+'Royal Court'!F25</f>
        <v>21390</v>
      </c>
      <c r="G32" s="63">
        <f>+'Royal Court'!G25</f>
        <v>21390</v>
      </c>
      <c r="H32" s="63">
        <f>+'Royal Court'!H25</f>
        <v>21390</v>
      </c>
      <c r="I32" s="63">
        <f>+'Royal Court'!I25</f>
        <v>21390</v>
      </c>
      <c r="J32" s="63">
        <f>+'Royal Court'!J25</f>
        <v>21390</v>
      </c>
      <c r="K32" s="63">
        <f>+'Royal Court'!K25</f>
        <v>21390</v>
      </c>
      <c r="L32" s="63">
        <f>+'Royal Court'!L25</f>
        <v>21390</v>
      </c>
      <c r="M32" s="63">
        <f>+'Royal Court'!M25</f>
        <v>21390</v>
      </c>
      <c r="N32" s="63">
        <f>+'Royal Court'!N25</f>
        <v>21390</v>
      </c>
      <c r="O32" s="63">
        <f>+'Royal Court'!O25</f>
        <v>21390</v>
      </c>
      <c r="P32" s="63">
        <f>+'Royal Court'!P25</f>
        <v>21390</v>
      </c>
      <c r="Q32" s="134">
        <f>SUM(E32:P32)</f>
        <v>256680</v>
      </c>
      <c r="R32" s="134">
        <v>408784.9</v>
      </c>
      <c r="U32" s="148"/>
      <c r="V32" s="40" t="e">
        <f t="shared" si="3"/>
        <v>#DIV/0!</v>
      </c>
    </row>
    <row r="33" spans="1:22" s="77" customFormat="1" ht="25.4" hidden="1" customHeight="1">
      <c r="A33" s="50" t="s">
        <v>399</v>
      </c>
      <c r="B33" s="3" t="s">
        <v>374</v>
      </c>
      <c r="C33" s="3"/>
      <c r="D33" s="26" t="s">
        <v>375</v>
      </c>
      <c r="E33" s="63">
        <f>+'MP Cafe'!E25</f>
        <v>0</v>
      </c>
      <c r="F33" s="63">
        <f>+'MP Cafe'!F25</f>
        <v>0</v>
      </c>
      <c r="G33" s="63">
        <f>+'MP Cafe'!G25</f>
        <v>0</v>
      </c>
      <c r="H33" s="63">
        <f>+'MP Cafe'!H25</f>
        <v>0</v>
      </c>
      <c r="I33" s="63">
        <f>+'MP Cafe'!I25</f>
        <v>0</v>
      </c>
      <c r="J33" s="63">
        <f>+'MP Cafe'!J25</f>
        <v>0</v>
      </c>
      <c r="K33" s="63">
        <f>+'MP Cafe'!K25</f>
        <v>0</v>
      </c>
      <c r="L33" s="63">
        <f>+'MP Cafe'!L25</f>
        <v>0</v>
      </c>
      <c r="M33" s="63">
        <f>+'MP Cafe'!M25</f>
        <v>0</v>
      </c>
      <c r="N33" s="63">
        <f>+'MP Cafe'!N25</f>
        <v>0</v>
      </c>
      <c r="O33" s="63">
        <f>+'MP Cafe'!O25</f>
        <v>0</v>
      </c>
      <c r="P33" s="63">
        <f>+'MP Cafe'!P25</f>
        <v>0</v>
      </c>
      <c r="Q33" s="134">
        <f>SUM(E33:P33)</f>
        <v>0</v>
      </c>
      <c r="R33" s="134">
        <v>117880</v>
      </c>
      <c r="U33" s="148"/>
      <c r="V33" s="40"/>
    </row>
    <row r="34" spans="1:22" s="77" customFormat="1" ht="25.4" hidden="1" customHeight="1">
      <c r="A34" s="50" t="s">
        <v>399</v>
      </c>
      <c r="B34" s="3" t="s">
        <v>376</v>
      </c>
      <c r="C34" s="3"/>
      <c r="D34" s="26" t="s">
        <v>377</v>
      </c>
      <c r="E34" s="63">
        <f>+'Pingju Zhuhai'!E25</f>
        <v>17515</v>
      </c>
      <c r="F34" s="63">
        <f>+'Pingju Zhuhai'!F25</f>
        <v>15820</v>
      </c>
      <c r="G34" s="63">
        <f>+'Pingju Zhuhai'!G25</f>
        <v>17515</v>
      </c>
      <c r="H34" s="63">
        <f>+'Pingju Zhuhai'!H25</f>
        <v>16950</v>
      </c>
      <c r="I34" s="63">
        <f>+'Pingju Zhuhai'!I25</f>
        <v>17515</v>
      </c>
      <c r="J34" s="63">
        <f>+'Pingju Zhuhai'!J25</f>
        <v>16950</v>
      </c>
      <c r="K34" s="63">
        <f>+'Pingju Zhuhai'!K25</f>
        <v>17515</v>
      </c>
      <c r="L34" s="63">
        <f>+'Pingju Zhuhai'!L25</f>
        <v>17515</v>
      </c>
      <c r="M34" s="63">
        <f>+'Pingju Zhuhai'!M25</f>
        <v>16950</v>
      </c>
      <c r="N34" s="63">
        <f>+'Pingju Zhuhai'!N25</f>
        <v>17515</v>
      </c>
      <c r="O34" s="63">
        <f>+'Pingju Zhuhai'!O25</f>
        <v>16950</v>
      </c>
      <c r="P34" s="63">
        <f>+'Pingju Zhuhai'!P25</f>
        <v>17515</v>
      </c>
      <c r="Q34" s="134">
        <f>SUM(E34:P34)</f>
        <v>206225</v>
      </c>
      <c r="R34" s="134">
        <v>114975</v>
      </c>
      <c r="U34" s="148"/>
      <c r="V34" s="40" t="e">
        <f t="shared" si="3"/>
        <v>#DIV/0!</v>
      </c>
    </row>
    <row r="35" spans="1:22" s="77" customFormat="1" ht="25.4" hidden="1" customHeight="1">
      <c r="A35" s="50" t="s">
        <v>399</v>
      </c>
      <c r="B35" s="3" t="s">
        <v>378</v>
      </c>
      <c r="C35" s="3"/>
      <c r="D35" s="26" t="s">
        <v>379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134">
        <f t="shared" ref="Q35:Q44" si="4">SUM(E35:P35)</f>
        <v>0</v>
      </c>
      <c r="R35" s="134">
        <v>0</v>
      </c>
      <c r="U35" s="148"/>
      <c r="V35" s="40">
        <f t="shared" si="3"/>
        <v>0</v>
      </c>
    </row>
    <row r="36" spans="1:22" s="77" customFormat="1" ht="25.4" hidden="1" customHeight="1">
      <c r="A36" s="50" t="s">
        <v>399</v>
      </c>
      <c r="B36" s="3" t="s">
        <v>380</v>
      </c>
      <c r="C36" s="3"/>
      <c r="D36" s="26" t="s">
        <v>381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134">
        <f t="shared" si="4"/>
        <v>0</v>
      </c>
      <c r="R36" s="134">
        <v>0</v>
      </c>
      <c r="U36" s="148"/>
      <c r="V36" s="40">
        <f t="shared" si="3"/>
        <v>0</v>
      </c>
    </row>
    <row r="37" spans="1:22" s="77" customFormat="1" ht="25.4" hidden="1" customHeight="1">
      <c r="A37" s="50" t="s">
        <v>399</v>
      </c>
      <c r="B37" s="3" t="s">
        <v>382</v>
      </c>
      <c r="C37" s="3"/>
      <c r="D37" s="26" t="s">
        <v>383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134">
        <f t="shared" si="4"/>
        <v>0</v>
      </c>
      <c r="R37" s="134">
        <v>0</v>
      </c>
      <c r="U37" s="148"/>
      <c r="V37" s="40">
        <f t="shared" si="3"/>
        <v>0</v>
      </c>
    </row>
    <row r="38" spans="1:22" s="77" customFormat="1" ht="25.4" hidden="1" customHeight="1">
      <c r="A38" s="50" t="s">
        <v>399</v>
      </c>
      <c r="B38" s="3" t="s">
        <v>384</v>
      </c>
      <c r="C38" s="3"/>
      <c r="D38" s="26" t="s">
        <v>385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134">
        <f t="shared" si="4"/>
        <v>0</v>
      </c>
      <c r="R38" s="134">
        <v>0</v>
      </c>
      <c r="U38" s="148"/>
      <c r="V38" s="40">
        <f t="shared" si="3"/>
        <v>0</v>
      </c>
    </row>
    <row r="39" spans="1:22" s="77" customFormat="1" ht="25.4" hidden="1" customHeight="1">
      <c r="A39" s="50" t="s">
        <v>399</v>
      </c>
      <c r="B39" s="3" t="s">
        <v>386</v>
      </c>
      <c r="C39" s="3"/>
      <c r="D39" s="26" t="s">
        <v>369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134">
        <f t="shared" si="4"/>
        <v>0</v>
      </c>
      <c r="R39" s="134">
        <v>0</v>
      </c>
      <c r="U39" s="148"/>
      <c r="V39" s="40">
        <f t="shared" si="3"/>
        <v>0</v>
      </c>
    </row>
    <row r="40" spans="1:22" s="77" customFormat="1" ht="25.4" hidden="1" customHeight="1">
      <c r="A40" s="50" t="s">
        <v>399</v>
      </c>
      <c r="B40" s="3" t="s">
        <v>387</v>
      </c>
      <c r="C40" s="3"/>
      <c r="D40" s="26" t="s">
        <v>388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134">
        <f t="shared" si="4"/>
        <v>0</v>
      </c>
      <c r="R40" s="134">
        <v>0</v>
      </c>
      <c r="U40" s="148"/>
      <c r="V40" s="40">
        <f t="shared" si="3"/>
        <v>0</v>
      </c>
    </row>
    <row r="41" spans="1:22" s="77" customFormat="1" ht="25.4" hidden="1" customHeight="1">
      <c r="A41" s="50" t="s">
        <v>399</v>
      </c>
      <c r="B41" s="3" t="s">
        <v>389</v>
      </c>
      <c r="C41" s="3"/>
      <c r="D41" s="26" t="s">
        <v>390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134">
        <f t="shared" si="4"/>
        <v>0</v>
      </c>
      <c r="R41" s="134">
        <v>0</v>
      </c>
      <c r="U41" s="148"/>
      <c r="V41" s="40">
        <f t="shared" si="3"/>
        <v>0</v>
      </c>
    </row>
    <row r="42" spans="1:22" s="77" customFormat="1" ht="25.4" hidden="1" customHeight="1">
      <c r="A42" s="50" t="s">
        <v>399</v>
      </c>
      <c r="B42" s="3" t="s">
        <v>391</v>
      </c>
      <c r="C42" s="3"/>
      <c r="D42" s="26" t="s">
        <v>392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134">
        <f t="shared" si="4"/>
        <v>0</v>
      </c>
      <c r="R42" s="134">
        <v>0</v>
      </c>
      <c r="U42" s="148"/>
      <c r="V42" s="40">
        <f t="shared" si="3"/>
        <v>0</v>
      </c>
    </row>
    <row r="43" spans="1:22" s="77" customFormat="1" ht="25.4" customHeight="1">
      <c r="A43" s="50" t="s">
        <v>399</v>
      </c>
      <c r="B43" s="3" t="s">
        <v>393</v>
      </c>
      <c r="C43" s="3"/>
      <c r="D43" s="26" t="s">
        <v>394</v>
      </c>
      <c r="E43" s="63">
        <f>+'Room Service'!E25</f>
        <v>651</v>
      </c>
      <c r="F43" s="63">
        <f>+'Room Service'!F25</f>
        <v>588</v>
      </c>
      <c r="G43" s="63">
        <f>+'Room Service'!G25</f>
        <v>651</v>
      </c>
      <c r="H43" s="63">
        <f>+'Room Service'!H25</f>
        <v>630</v>
      </c>
      <c r="I43" s="63">
        <f>+'Room Service'!I25</f>
        <v>651</v>
      </c>
      <c r="J43" s="63">
        <f>+'Room Service'!J25</f>
        <v>630</v>
      </c>
      <c r="K43" s="63">
        <f>+'Room Service'!K25</f>
        <v>651</v>
      </c>
      <c r="L43" s="63">
        <f>+'Room Service'!L25</f>
        <v>651</v>
      </c>
      <c r="M43" s="63">
        <f>+'Room Service'!M25</f>
        <v>630</v>
      </c>
      <c r="N43" s="63">
        <f>+'Room Service'!N25</f>
        <v>651</v>
      </c>
      <c r="O43" s="63">
        <f>+'Room Service'!O25</f>
        <v>630</v>
      </c>
      <c r="P43" s="63">
        <f>+'Room Service'!P25</f>
        <v>651</v>
      </c>
      <c r="Q43" s="134">
        <f t="shared" si="4"/>
        <v>7665</v>
      </c>
      <c r="R43" s="134">
        <v>54631.05</v>
      </c>
      <c r="U43" s="148"/>
      <c r="V43" s="40" t="e">
        <f t="shared" si="3"/>
        <v>#DIV/0!</v>
      </c>
    </row>
    <row r="44" spans="1:22" s="77" customFormat="1" ht="25.4" customHeight="1">
      <c r="A44" s="50" t="s">
        <v>399</v>
      </c>
      <c r="B44" s="3" t="s">
        <v>395</v>
      </c>
      <c r="C44" s="3"/>
      <c r="D44" s="26" t="s">
        <v>396</v>
      </c>
      <c r="E44" s="63">
        <f>+Banquet!E25</f>
        <v>0</v>
      </c>
      <c r="F44" s="63">
        <f>+Banquet!F25</f>
        <v>0</v>
      </c>
      <c r="G44" s="63">
        <f>+Banquet!G25</f>
        <v>0</v>
      </c>
      <c r="H44" s="63">
        <f>+Banquet!H25</f>
        <v>0</v>
      </c>
      <c r="I44" s="63">
        <f>+Banquet!I25</f>
        <v>0</v>
      </c>
      <c r="J44" s="63">
        <f>+Banquet!J25</f>
        <v>0</v>
      </c>
      <c r="K44" s="63">
        <f>+Banquet!K25</f>
        <v>0</v>
      </c>
      <c r="L44" s="63">
        <f>+Banquet!L25</f>
        <v>0</v>
      </c>
      <c r="M44" s="63">
        <f>+Banquet!M25</f>
        <v>0</v>
      </c>
      <c r="N44" s="63">
        <f>+Banquet!N25</f>
        <v>0</v>
      </c>
      <c r="O44" s="63">
        <f>+Banquet!O25</f>
        <v>0</v>
      </c>
      <c r="P44" s="63">
        <f>+Banquet!P25</f>
        <v>0</v>
      </c>
      <c r="Q44" s="134">
        <f t="shared" si="4"/>
        <v>0</v>
      </c>
      <c r="R44" s="134">
        <v>450880.85</v>
      </c>
      <c r="U44" s="148"/>
      <c r="V44" s="40">
        <f t="shared" si="3"/>
        <v>0</v>
      </c>
    </row>
    <row r="45" spans="1:22" s="77" customFormat="1" ht="25.4" customHeight="1">
      <c r="A45" s="3"/>
      <c r="B45" s="3"/>
      <c r="C45" s="3"/>
      <c r="D45" s="21" t="s">
        <v>401</v>
      </c>
      <c r="E45" s="45">
        <f>SUM(E30:E44)</f>
        <v>45136</v>
      </c>
      <c r="F45" s="45">
        <f t="shared" ref="F45:Q45" si="5">SUM(F30:F44)</f>
        <v>43398</v>
      </c>
      <c r="G45" s="45">
        <f t="shared" si="5"/>
        <v>46376</v>
      </c>
      <c r="H45" s="45">
        <f t="shared" si="5"/>
        <v>45570</v>
      </c>
      <c r="I45" s="45">
        <f t="shared" si="5"/>
        <v>46376</v>
      </c>
      <c r="J45" s="45">
        <f t="shared" si="5"/>
        <v>45570</v>
      </c>
      <c r="K45" s="45">
        <f t="shared" si="5"/>
        <v>47616</v>
      </c>
      <c r="L45" s="45">
        <f t="shared" si="5"/>
        <v>47616</v>
      </c>
      <c r="M45" s="45">
        <f t="shared" si="5"/>
        <v>46770</v>
      </c>
      <c r="N45" s="45">
        <f t="shared" si="5"/>
        <v>47616</v>
      </c>
      <c r="O45" s="45">
        <f t="shared" si="5"/>
        <v>46770</v>
      </c>
      <c r="P45" s="45">
        <f t="shared" si="5"/>
        <v>47616</v>
      </c>
      <c r="Q45" s="45">
        <f t="shared" si="5"/>
        <v>556430</v>
      </c>
      <c r="R45" s="45">
        <v>2033616.81</v>
      </c>
      <c r="U45" s="148"/>
      <c r="V45" s="40" t="e">
        <f t="shared" si="3"/>
        <v>#DIV/0!</v>
      </c>
    </row>
    <row r="46" spans="1:22" s="77" customFormat="1" ht="25.4" customHeight="1">
      <c r="A46" s="50" t="s">
        <v>402</v>
      </c>
      <c r="B46" s="3" t="s">
        <v>403</v>
      </c>
      <c r="C46" s="3"/>
      <c r="D46" s="26" t="s">
        <v>404</v>
      </c>
      <c r="E46" s="63">
        <f>+Banquet!E26</f>
        <v>75000</v>
      </c>
      <c r="F46" s="63">
        <f>+Banquet!F26</f>
        <v>8000</v>
      </c>
      <c r="G46" s="63">
        <f>+Banquet!G26</f>
        <v>60000</v>
      </c>
      <c r="H46" s="63">
        <f>+Banquet!H26</f>
        <v>60000</v>
      </c>
      <c r="I46" s="63">
        <f>+Banquet!I26</f>
        <v>50000</v>
      </c>
      <c r="J46" s="63">
        <f>+Banquet!J26</f>
        <v>100000</v>
      </c>
      <c r="K46" s="63">
        <f>+Banquet!K26</f>
        <v>50000</v>
      </c>
      <c r="L46" s="63">
        <f>+Banquet!L26</f>
        <v>16000</v>
      </c>
      <c r="M46" s="63">
        <f>+Banquet!M26</f>
        <v>15000</v>
      </c>
      <c r="N46" s="63">
        <f>+Banquet!N26</f>
        <v>120000</v>
      </c>
      <c r="O46" s="63">
        <f>+Banquet!O26</f>
        <v>120000</v>
      </c>
      <c r="P46" s="63">
        <f>+Banquet!P26</f>
        <v>150000</v>
      </c>
      <c r="Q46" s="134">
        <f>SUM(E46:P46)</f>
        <v>824000</v>
      </c>
      <c r="R46" s="134">
        <v>1850324.31</v>
      </c>
      <c r="U46" s="148"/>
      <c r="V46" s="40" t="e">
        <f t="shared" si="3"/>
        <v>#DIV/0!</v>
      </c>
    </row>
    <row r="47" spans="1:22" s="77" customFormat="1" ht="25.4" customHeight="1">
      <c r="A47" s="50" t="s">
        <v>405</v>
      </c>
      <c r="B47" s="3" t="s">
        <v>403</v>
      </c>
      <c r="C47" s="3"/>
      <c r="D47" s="26" t="s">
        <v>406</v>
      </c>
      <c r="E47" s="63">
        <f>Minibar!E16</f>
        <v>0</v>
      </c>
      <c r="F47" s="63">
        <f>Minibar!F16</f>
        <v>0</v>
      </c>
      <c r="G47" s="63">
        <f>Minibar!G16</f>
        <v>0</v>
      </c>
      <c r="H47" s="63">
        <f>Minibar!H16</f>
        <v>0</v>
      </c>
      <c r="I47" s="63">
        <f>Minibar!I16</f>
        <v>0</v>
      </c>
      <c r="J47" s="63">
        <f>Minibar!J16</f>
        <v>0</v>
      </c>
      <c r="K47" s="63">
        <f>Minibar!K16</f>
        <v>0</v>
      </c>
      <c r="L47" s="63">
        <f>Minibar!L16</f>
        <v>0</v>
      </c>
      <c r="M47" s="63">
        <f>Minibar!M16</f>
        <v>0</v>
      </c>
      <c r="N47" s="63">
        <f>Minibar!N16</f>
        <v>0</v>
      </c>
      <c r="O47" s="63">
        <f>Minibar!O16</f>
        <v>0</v>
      </c>
      <c r="P47" s="63">
        <f>Minibar!P16</f>
        <v>0</v>
      </c>
      <c r="Q47" s="134">
        <f>SUM(E47:P47)</f>
        <v>0</v>
      </c>
      <c r="R47" s="134">
        <v>144257.51999999999</v>
      </c>
      <c r="U47" s="148"/>
      <c r="V47" s="40">
        <f t="shared" si="3"/>
        <v>0</v>
      </c>
    </row>
    <row r="48" spans="1:22" s="77" customFormat="1" ht="25.4" customHeight="1">
      <c r="A48" s="50" t="s">
        <v>407</v>
      </c>
      <c r="B48" s="3" t="s">
        <v>403</v>
      </c>
      <c r="C48" s="3"/>
      <c r="D48" s="26" t="s">
        <v>408</v>
      </c>
      <c r="E48" s="63">
        <f>+'Lobby Lounge'!E26+'Fangfei Lounge'!E26+'Royal Court'!E26+'MP Cafe'!E26+'Pingju Zhuhai'!E26+'Room Service'!E26+Banquet!E27</f>
        <v>0</v>
      </c>
      <c r="F48" s="63">
        <f>+'Lobby Lounge'!F26+'Fangfei Lounge'!F26+'Royal Court'!F26+'MP Cafe'!F26+'Pingju Zhuhai'!F26+'Room Service'!F26+Banquet!F27</f>
        <v>0</v>
      </c>
      <c r="G48" s="63">
        <f>+'Lobby Lounge'!G26+'Fangfei Lounge'!G26+'Royal Court'!G26+'MP Cafe'!G26+'Pingju Zhuhai'!G26+'Room Service'!G26+Banquet!G27</f>
        <v>0</v>
      </c>
      <c r="H48" s="63">
        <f>+'Lobby Lounge'!H26+'Fangfei Lounge'!H26+'Royal Court'!H26+'MP Cafe'!H26+'Pingju Zhuhai'!H26+'Room Service'!H26+Banquet!H27</f>
        <v>0</v>
      </c>
      <c r="I48" s="63">
        <f>+'Lobby Lounge'!I26+'Fangfei Lounge'!I26+'Royal Court'!I26+'MP Cafe'!I26+'Pingju Zhuhai'!I26+'Room Service'!I26+Banquet!I27</f>
        <v>80000</v>
      </c>
      <c r="J48" s="63">
        <f>+'Lobby Lounge'!J26+'Fangfei Lounge'!J26+'Royal Court'!J26+'MP Cafe'!J26+'Pingju Zhuhai'!J26+'Room Service'!J26+Banquet!J27</f>
        <v>0</v>
      </c>
      <c r="K48" s="63">
        <f>+'Lobby Lounge'!K26+'Fangfei Lounge'!K26+'Royal Court'!K26+'MP Cafe'!K26+'Pingju Zhuhai'!K26+'Room Service'!K26+Banquet!K27</f>
        <v>0</v>
      </c>
      <c r="L48" s="63">
        <f>+'Lobby Lounge'!L26+'Fangfei Lounge'!L26+'Royal Court'!L26+'MP Cafe'!L26+'Pingju Zhuhai'!L26+'Room Service'!L26+Banquet!L27</f>
        <v>0</v>
      </c>
      <c r="M48" s="63">
        <f>+'Lobby Lounge'!M26+'Fangfei Lounge'!M26+'Royal Court'!M26+'MP Cafe'!M26+'Pingju Zhuhai'!M26+'Room Service'!M26+Banquet!M27</f>
        <v>400000</v>
      </c>
      <c r="N48" s="63">
        <f>+'Lobby Lounge'!N26+'Fangfei Lounge'!N26+'Royal Court'!N26+'MP Cafe'!N26+'Pingju Zhuhai'!N26+'Room Service'!N26+Banquet!N27</f>
        <v>0</v>
      </c>
      <c r="O48" s="63">
        <f>+'Lobby Lounge'!O26+'Fangfei Lounge'!O26+'Royal Court'!O26+'MP Cafe'!O26+'Pingju Zhuhai'!O26+'Room Service'!O26+Banquet!O27</f>
        <v>0</v>
      </c>
      <c r="P48" s="63">
        <f>+'Lobby Lounge'!P26+'Fangfei Lounge'!P26+'Royal Court'!P26+'MP Cafe'!P26+'Pingju Zhuhai'!P26+'Room Service'!P26+Banquet!P27</f>
        <v>20000</v>
      </c>
      <c r="Q48" s="134">
        <f>SUM(E48:P48)</f>
        <v>500000</v>
      </c>
      <c r="R48" s="134">
        <v>985568.42</v>
      </c>
      <c r="U48" s="148"/>
      <c r="V48" s="40" t="e">
        <f t="shared" si="3"/>
        <v>#DIV/0!</v>
      </c>
    </row>
    <row r="49" spans="1:22" s="77" customFormat="1" ht="25.4" customHeight="1">
      <c r="A49" s="50" t="s">
        <v>128</v>
      </c>
      <c r="B49" s="3" t="s">
        <v>403</v>
      </c>
      <c r="C49" s="3"/>
      <c r="D49" s="26" t="s">
        <v>409</v>
      </c>
      <c r="E49" s="63">
        <f>+'Lobby Lounge'!E27+'Fangfei Lounge'!E27+'Royal Court'!E27+'MP Cafe'!E27+'Pingju Zhuhai'!E27+'Room Service'!E27+Banquet!E28</f>
        <v>169603.6</v>
      </c>
      <c r="F49" s="63">
        <f>+'Lobby Lounge'!F27+'Fangfei Lounge'!F27+'Royal Court'!F27+'MP Cafe'!F27+'Pingju Zhuhai'!F27+'Room Service'!F27+Banquet!F28</f>
        <v>173839.8</v>
      </c>
      <c r="G49" s="63">
        <f>+'Lobby Lounge'!G27+'Fangfei Lounge'!G27+'Royal Court'!G27+'MP Cafe'!G27+'Pingju Zhuhai'!G27+'Room Service'!G27+Banquet!G28</f>
        <v>167797.6</v>
      </c>
      <c r="H49" s="63">
        <f>+'Lobby Lounge'!H27+'Fangfei Lounge'!H27+'Royal Court'!H27+'MP Cafe'!H27+'Pingju Zhuhai'!H27+'Room Service'!H27+Banquet!H28</f>
        <v>167102</v>
      </c>
      <c r="I49" s="63">
        <f>+'Lobby Lounge'!I27+'Fangfei Lounge'!I27+'Royal Court'!I27+'MP Cafe'!I27+'Pingju Zhuhai'!I27+'Room Service'!I27+Banquet!I28</f>
        <v>172487.6</v>
      </c>
      <c r="J49" s="63">
        <f>+'Lobby Lounge'!J27+'Fangfei Lounge'!J27+'Royal Court'!J27+'MP Cafe'!J27+'Pingju Zhuhai'!J27+'Room Service'!J27+Banquet!J28</f>
        <v>166532</v>
      </c>
      <c r="K49" s="63">
        <f>+'Lobby Lounge'!K27+'Fangfei Lounge'!K27+'Royal Court'!K27+'MP Cafe'!K27+'Pingju Zhuhai'!K27+'Room Service'!K27+Banquet!K28</f>
        <v>199411.6</v>
      </c>
      <c r="L49" s="63">
        <f>+'Lobby Lounge'!L27+'Fangfei Lounge'!L27+'Royal Court'!L27+'MP Cafe'!L27+'Pingju Zhuhai'!L27+'Room Service'!L27+Banquet!L28</f>
        <v>201911.6</v>
      </c>
      <c r="M49" s="63">
        <f>+'Lobby Lounge'!M27+'Fangfei Lounge'!M27+'Royal Court'!M27+'MP Cafe'!M27+'Pingju Zhuhai'!M27+'Room Service'!M27+Banquet!M28</f>
        <v>162752</v>
      </c>
      <c r="N49" s="63">
        <f>+'Lobby Lounge'!N27+'Fangfei Lounge'!N27+'Royal Court'!N27+'MP Cafe'!N27+'Pingju Zhuhai'!N27+'Room Service'!N27+Banquet!N28</f>
        <v>186131.6</v>
      </c>
      <c r="O49" s="63">
        <f>+'Lobby Lounge'!O27+'Fangfei Lounge'!O27+'Royal Court'!O27+'MP Cafe'!O27+'Pingju Zhuhai'!O27+'Room Service'!O27+Banquet!O28</f>
        <v>181022</v>
      </c>
      <c r="P49" s="63">
        <f>+'Lobby Lounge'!P27+'Fangfei Lounge'!P27+'Royal Court'!P27+'MP Cafe'!P27+'Pingju Zhuhai'!P27+'Room Service'!P27+Banquet!P28</f>
        <v>189431.6</v>
      </c>
      <c r="Q49" s="134">
        <f>SUM(E49:P49)</f>
        <v>2138023</v>
      </c>
      <c r="R49" s="134">
        <v>3248563.8810000001</v>
      </c>
      <c r="S49" s="77">
        <f>Q49/Q50</f>
        <v>6.0887368891724823E-2</v>
      </c>
      <c r="U49" s="148"/>
      <c r="V49" s="40" t="e">
        <f t="shared" si="3"/>
        <v>#DIV/0!</v>
      </c>
    </row>
    <row r="50" spans="1:22" s="77" customFormat="1" ht="25.4" customHeight="1">
      <c r="A50" s="50"/>
      <c r="B50" s="3"/>
      <c r="C50" s="3"/>
      <c r="D50" s="21" t="s">
        <v>410</v>
      </c>
      <c r="E50" s="45">
        <f>E27+E45+E46+E47+E48+E49</f>
        <v>2625339.6</v>
      </c>
      <c r="F50" s="45">
        <f t="shared" ref="F50:Q50" si="6">F27+F45+F46+F47+F48+F49</f>
        <v>1944737.8</v>
      </c>
      <c r="G50" s="45">
        <f t="shared" si="6"/>
        <v>2912613.6</v>
      </c>
      <c r="H50" s="45">
        <f t="shared" si="6"/>
        <v>2523722</v>
      </c>
      <c r="I50" s="45">
        <f t="shared" si="6"/>
        <v>3021363.6</v>
      </c>
      <c r="J50" s="45">
        <f t="shared" si="6"/>
        <v>2773652</v>
      </c>
      <c r="K50" s="45">
        <f t="shared" si="6"/>
        <v>2953527.6</v>
      </c>
      <c r="L50" s="45">
        <f t="shared" si="6"/>
        <v>2719027.6</v>
      </c>
      <c r="M50" s="45">
        <f t="shared" si="6"/>
        <v>2316272</v>
      </c>
      <c r="N50" s="45">
        <f t="shared" si="6"/>
        <v>4072247.6</v>
      </c>
      <c r="O50" s="45">
        <f t="shared" si="6"/>
        <v>3710342</v>
      </c>
      <c r="P50" s="45">
        <f t="shared" si="6"/>
        <v>3541547.6</v>
      </c>
      <c r="Q50" s="45">
        <f t="shared" si="6"/>
        <v>35114393</v>
      </c>
      <c r="R50" s="45">
        <v>39757380.901000001</v>
      </c>
      <c r="U50" s="148"/>
      <c r="V50" s="40" t="e">
        <f t="shared" si="3"/>
        <v>#DIV/0!</v>
      </c>
    </row>
    <row r="51" spans="1:22" s="77" customFormat="1" ht="25.4" customHeight="1">
      <c r="A51" s="50"/>
      <c r="B51" s="3"/>
      <c r="C51" s="3"/>
      <c r="D51" s="26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U51" s="148"/>
      <c r="V51" s="40"/>
    </row>
    <row r="52" spans="1:22" s="77" customFormat="1" ht="25.4" customHeight="1">
      <c r="A52" s="50"/>
      <c r="B52" s="3"/>
      <c r="C52" s="3"/>
      <c r="D52" s="21" t="s">
        <v>411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U52" s="148"/>
      <c r="V52" s="40"/>
    </row>
    <row r="53" spans="1:22" s="77" customFormat="1" ht="25.4" customHeight="1">
      <c r="A53" s="50" t="s">
        <v>412</v>
      </c>
      <c r="B53" s="3" t="s">
        <v>403</v>
      </c>
      <c r="C53" s="3"/>
      <c r="D53" s="26" t="s">
        <v>413</v>
      </c>
      <c r="E53" s="63">
        <f>+'Lobby Lounge'!E31+'Fangfei Lounge'!E31+'Royal Court'!E31+'MP Cafe'!E31+'Pingju Zhuhai'!E31+'Room Service'!E31+Banquet!E32</f>
        <v>856542</v>
      </c>
      <c r="F53" s="63">
        <f>+'Lobby Lounge'!F31+'Fangfei Lounge'!F31+'Royal Court'!F31+'MP Cafe'!F31+'Pingju Zhuhai'!F31+'Room Service'!F31+Banquet!F32</f>
        <v>654836.6</v>
      </c>
      <c r="G53" s="63">
        <f>+'Lobby Lounge'!G31+'Fangfei Lounge'!G31+'Royal Court'!G31+'MP Cafe'!G31+'Pingju Zhuhai'!G31+'Room Service'!G31+Banquet!G32</f>
        <v>957813.6</v>
      </c>
      <c r="H53" s="63">
        <f>+'Lobby Lounge'!H31+'Fangfei Lounge'!H31+'Royal Court'!H31+'MP Cafe'!H31+'Pingju Zhuhai'!H31+'Room Service'!H31+Banquet!H32</f>
        <v>826752</v>
      </c>
      <c r="I53" s="63">
        <f>+'Lobby Lounge'!I31+'Fangfei Lounge'!I31+'Royal Court'!I31+'MP Cafe'!I31+'Pingju Zhuhai'!I31+'Room Service'!I31+Banquet!I32</f>
        <v>973572</v>
      </c>
      <c r="J53" s="63">
        <f>+'Lobby Lounge'!J31+'Fangfei Lounge'!J31+'Royal Court'!J31+'MP Cafe'!J31+'Pingju Zhuhai'!J31+'Room Service'!J31+Banquet!J32</f>
        <v>897809</v>
      </c>
      <c r="K53" s="63">
        <f>+'Lobby Lounge'!K31+'Fangfei Lounge'!K31+'Royal Court'!K31+'MP Cafe'!K31+'Pingju Zhuhai'!K31+'Room Service'!K31+Banquet!K32</f>
        <v>992381</v>
      </c>
      <c r="L53" s="63">
        <f>+'Lobby Lounge'!L31+'Fangfei Lounge'!L31+'Royal Court'!L31+'MP Cafe'!L31+'Pingju Zhuhai'!L31+'Room Service'!L31+Banquet!L32</f>
        <v>925479.85</v>
      </c>
      <c r="M53" s="63">
        <f>+'Lobby Lounge'!M31+'Fangfei Lounge'!M31+'Royal Court'!M31+'MP Cafe'!M31+'Pingju Zhuhai'!M31+'Room Service'!M31+Banquet!M32</f>
        <v>632120.59499999997</v>
      </c>
      <c r="N53" s="63">
        <f>+'Lobby Lounge'!N31+'Fangfei Lounge'!N31+'Royal Court'!N31+'MP Cafe'!N31+'Pingju Zhuhai'!N31+'Room Service'!N31+Banquet!N32</f>
        <v>1340038.44</v>
      </c>
      <c r="O53" s="63">
        <f>+'Lobby Lounge'!O31+'Fangfei Lounge'!O31+'Royal Court'!O31+'MP Cafe'!O31+'Pingju Zhuhai'!O31+'Room Service'!O31+Banquet!O32</f>
        <v>1215775.4350000001</v>
      </c>
      <c r="P53" s="63">
        <f>+'Lobby Lounge'!P31+'Fangfei Lounge'!P31+'Royal Court'!P31+'MP Cafe'!P31+'Pingju Zhuhai'!P31+'Room Service'!P31+Banquet!P32</f>
        <v>1144509.5</v>
      </c>
      <c r="Q53" s="134">
        <f>SUM(E53:P53)</f>
        <v>11417630.02</v>
      </c>
      <c r="R53" s="134">
        <v>10992235.045499999</v>
      </c>
      <c r="S53" s="159">
        <f>Q53/Q27</f>
        <v>0.36717430056785549</v>
      </c>
      <c r="T53" s="159"/>
      <c r="U53" s="148"/>
      <c r="V53" s="40" t="e">
        <f>-IF(Q53-U53=0,0,(Q53-U53)/U53)</f>
        <v>#DIV/0!</v>
      </c>
    </row>
    <row r="54" spans="1:22" s="77" customFormat="1" ht="25.4" customHeight="1">
      <c r="A54" s="3" t="s">
        <v>414</v>
      </c>
      <c r="B54" s="3" t="s">
        <v>403</v>
      </c>
      <c r="C54" s="3"/>
      <c r="D54" s="26" t="s">
        <v>415</v>
      </c>
      <c r="E54" s="63">
        <f>+'Lobby Lounge'!E32+'Fangfei Lounge'!E32+'Royal Court'!E32+'MP Cafe'!E32+'Pingju Zhuhai'!E32+'Room Service'!E32+Banquet!E33</f>
        <v>17104.559999999998</v>
      </c>
      <c r="F54" s="63">
        <f>+'Lobby Lounge'!F32+'Fangfei Lounge'!F32+'Royal Court'!F32+'MP Cafe'!F32+'Pingju Zhuhai'!F32+'Room Service'!F32+Banquet!F33</f>
        <v>16534.64</v>
      </c>
      <c r="G54" s="63">
        <f>+'Lobby Lounge'!G32+'Fangfei Lounge'!G32+'Royal Court'!G32+'MP Cafe'!G32+'Pingju Zhuhai'!G32+'Room Service'!G32+Banquet!G33</f>
        <v>17455.014999999999</v>
      </c>
      <c r="H54" s="63">
        <f>+'Lobby Lounge'!H32+'Fangfei Lounge'!H32+'Royal Court'!H32+'MP Cafe'!H32+'Pingju Zhuhai'!H32+'Room Service'!H32+Banquet!H33</f>
        <v>17196.150000000001</v>
      </c>
      <c r="I54" s="63">
        <f>+'Lobby Lounge'!I32+'Fangfei Lounge'!I32+'Royal Court'!I32+'MP Cafe'!I32+'Pingju Zhuhai'!I32+'Room Service'!I32+Banquet!I33</f>
        <v>17451.759999999998</v>
      </c>
      <c r="J54" s="63">
        <f>+'Lobby Lounge'!J32+'Fangfei Lounge'!J32+'Royal Court'!J32+'MP Cafe'!J32+'Pingju Zhuhai'!J32+'Room Service'!J32+Banquet!J33</f>
        <v>17196.150000000001</v>
      </c>
      <c r="K54" s="63">
        <f>+'Lobby Lounge'!K32+'Fangfei Lounge'!K32+'Royal Court'!K32+'MP Cafe'!K32+'Pingju Zhuhai'!K32+'Room Service'!K32+Banquet!K33</f>
        <v>17795.705000000002</v>
      </c>
      <c r="L54" s="63">
        <f>+'Lobby Lounge'!L32+'Fangfei Lounge'!L32+'Royal Court'!L32+'MP Cafe'!L32+'Pingju Zhuhai'!L32+'Room Service'!L32+Banquet!L33</f>
        <v>17795.705000000002</v>
      </c>
      <c r="M54" s="63">
        <f>+'Lobby Lounge'!M32+'Fangfei Lounge'!M32+'Royal Court'!M32+'MP Cafe'!M32+'Pingju Zhuhai'!M32+'Room Service'!M32+Banquet!M33</f>
        <v>17532.150000000001</v>
      </c>
      <c r="N54" s="63">
        <f>+'Lobby Lounge'!N32+'Fangfei Lounge'!N32+'Royal Court'!N32+'MP Cafe'!N32+'Pingju Zhuhai'!N32+'Room Service'!N32+Banquet!N33</f>
        <v>17802.215</v>
      </c>
      <c r="O54" s="63">
        <f>+'Lobby Lounge'!O32+'Fangfei Lounge'!O32+'Royal Court'!O32+'MP Cafe'!O32+'Pingju Zhuhai'!O32+'Room Service'!O32+Banquet!O33</f>
        <v>17538.45</v>
      </c>
      <c r="P54" s="63">
        <f>+'Lobby Lounge'!P32+'Fangfei Lounge'!P32+'Royal Court'!P32+'MP Cafe'!P32+'Pingju Zhuhai'!P32+'Room Service'!P32+Banquet!P33</f>
        <v>17802.215</v>
      </c>
      <c r="Q54" s="134">
        <f>SUM(E54:P54)</f>
        <v>209204.715</v>
      </c>
      <c r="R54" s="134">
        <v>404486.364</v>
      </c>
      <c r="S54" s="159">
        <f>Q54/Q45</f>
        <v>0.37597669967471198</v>
      </c>
      <c r="T54" s="159"/>
      <c r="U54" s="148"/>
      <c r="V54" s="40" t="e">
        <f t="shared" ref="V54:V57" si="7">-IF(Q54-U54=0,0,(Q54-U54)/U54)</f>
        <v>#DIV/0!</v>
      </c>
    </row>
    <row r="55" spans="1:22" s="77" customFormat="1" ht="25.4" customHeight="1">
      <c r="A55" s="3" t="s">
        <v>416</v>
      </c>
      <c r="B55" s="3" t="s">
        <v>403</v>
      </c>
      <c r="C55" s="3"/>
      <c r="D55" s="26" t="s">
        <v>417</v>
      </c>
      <c r="E55" s="63">
        <f>Minibar!E22</f>
        <v>0</v>
      </c>
      <c r="F55" s="63">
        <f>Minibar!F22</f>
        <v>0</v>
      </c>
      <c r="G55" s="63">
        <f>Minibar!G22</f>
        <v>0</v>
      </c>
      <c r="H55" s="63">
        <f>Minibar!H22</f>
        <v>0</v>
      </c>
      <c r="I55" s="63">
        <f>Minibar!I22</f>
        <v>0</v>
      </c>
      <c r="J55" s="63">
        <f>Minibar!J22</f>
        <v>0</v>
      </c>
      <c r="K55" s="63">
        <f>Minibar!K22</f>
        <v>0</v>
      </c>
      <c r="L55" s="63">
        <f>Minibar!L22</f>
        <v>0</v>
      </c>
      <c r="M55" s="63">
        <f>Minibar!M22</f>
        <v>0</v>
      </c>
      <c r="N55" s="63">
        <f>Minibar!N22</f>
        <v>0</v>
      </c>
      <c r="O55" s="63">
        <f>Minibar!O22</f>
        <v>0</v>
      </c>
      <c r="P55" s="63">
        <f>Minibar!P22</f>
        <v>0</v>
      </c>
      <c r="Q55" s="134">
        <f>SUM(E55:P55)</f>
        <v>0</v>
      </c>
      <c r="R55" s="134">
        <v>36353.360000000001</v>
      </c>
      <c r="S55" s="159">
        <f>IF(Q47=0,0,Q55/Q47)</f>
        <v>0</v>
      </c>
      <c r="T55" s="159"/>
      <c r="U55" s="148"/>
      <c r="V55" s="40">
        <f t="shared" si="7"/>
        <v>0</v>
      </c>
    </row>
    <row r="56" spans="1:22" s="77" customFormat="1" ht="25.4" customHeight="1">
      <c r="A56" s="3" t="s">
        <v>418</v>
      </c>
      <c r="B56" s="3" t="s">
        <v>403</v>
      </c>
      <c r="C56" s="3"/>
      <c r="D56" s="26" t="s">
        <v>419</v>
      </c>
      <c r="E56" s="63">
        <f>+'Lobby Lounge'!E33+'Fangfei Lounge'!E33+'Royal Court'!E33+'MP Cafe'!E33+'Pingju Zhuhai'!E33+'Room Service'!E33+Banquet!E34</f>
        <v>0</v>
      </c>
      <c r="F56" s="63">
        <f>+'Lobby Lounge'!F33+'Fangfei Lounge'!F33+'Royal Court'!F33+'MP Cafe'!F33+'Pingju Zhuhai'!F33+'Room Service'!F33+Banquet!F34</f>
        <v>0</v>
      </c>
      <c r="G56" s="63">
        <f>+'Lobby Lounge'!G33+'Fangfei Lounge'!G33+'Royal Court'!G33+'MP Cafe'!G33+'Pingju Zhuhai'!G33+'Room Service'!G33+Banquet!G34</f>
        <v>0</v>
      </c>
      <c r="H56" s="63">
        <f>+'Lobby Lounge'!H33+'Fangfei Lounge'!H33+'Royal Court'!H33+'MP Cafe'!H33+'Pingju Zhuhai'!H33+'Room Service'!H33+Banquet!H34</f>
        <v>0</v>
      </c>
      <c r="I56" s="63">
        <f>+'Lobby Lounge'!I33+'Fangfei Lounge'!I33+'Royal Court'!I33+'MP Cafe'!I33+'Pingju Zhuhai'!I33+'Room Service'!I33+Banquet!I34</f>
        <v>32000</v>
      </c>
      <c r="J56" s="63">
        <f>+'Lobby Lounge'!J33+'Fangfei Lounge'!J33+'Royal Court'!J33+'MP Cafe'!J33+'Pingju Zhuhai'!J33+'Room Service'!J33+Banquet!J34</f>
        <v>0</v>
      </c>
      <c r="K56" s="63">
        <f>+'Lobby Lounge'!K33+'Fangfei Lounge'!K33+'Royal Court'!K33+'MP Cafe'!K33+'Pingju Zhuhai'!K33+'Room Service'!K33+Banquet!K34</f>
        <v>0</v>
      </c>
      <c r="L56" s="63">
        <f>+'Lobby Lounge'!L33+'Fangfei Lounge'!L33+'Royal Court'!L33+'MP Cafe'!L33+'Pingju Zhuhai'!L33+'Room Service'!L33+Banquet!L34</f>
        <v>0</v>
      </c>
      <c r="M56" s="63">
        <f>+'Lobby Lounge'!M33+'Fangfei Lounge'!M33+'Royal Court'!M33+'MP Cafe'!M33+'Pingju Zhuhai'!M33+'Room Service'!M33+Banquet!M34</f>
        <v>160000</v>
      </c>
      <c r="N56" s="63">
        <f>+'Lobby Lounge'!N33+'Fangfei Lounge'!N33+'Royal Court'!N33+'MP Cafe'!N33+'Pingju Zhuhai'!N33+'Room Service'!N33+Banquet!N34</f>
        <v>0</v>
      </c>
      <c r="O56" s="63">
        <f>+'Lobby Lounge'!O33+'Fangfei Lounge'!O33+'Royal Court'!O33+'MP Cafe'!O33+'Pingju Zhuhai'!O33+'Room Service'!O33+Banquet!O34</f>
        <v>0</v>
      </c>
      <c r="P56" s="63">
        <f>+'Lobby Lounge'!P33+'Fangfei Lounge'!P33+'Royal Court'!P33+'MP Cafe'!P33+'Pingju Zhuhai'!P33+'Room Service'!P33+Banquet!P34</f>
        <v>8000</v>
      </c>
      <c r="Q56" s="134">
        <f>SUM(E56:P56)</f>
        <v>200000</v>
      </c>
      <c r="R56" s="134">
        <v>172340.09</v>
      </c>
      <c r="S56" s="159">
        <f>Q56/Q48</f>
        <v>0.4</v>
      </c>
      <c r="T56" s="159"/>
      <c r="U56" s="148"/>
      <c r="V56" s="40" t="e">
        <f t="shared" si="7"/>
        <v>#DIV/0!</v>
      </c>
    </row>
    <row r="57" spans="1:22" s="77" customFormat="1" ht="25.4" customHeight="1">
      <c r="A57" s="3"/>
      <c r="B57" s="3"/>
      <c r="C57" s="3"/>
      <c r="D57" s="21" t="s">
        <v>420</v>
      </c>
      <c r="E57" s="45">
        <f>+SUM(E53:E56)</f>
        <v>873646.56</v>
      </c>
      <c r="F57" s="45">
        <f t="shared" ref="F57:P57" si="8">+SUM(F53:F56)</f>
        <v>671371.24</v>
      </c>
      <c r="G57" s="45">
        <f t="shared" si="8"/>
        <v>975268.61499999999</v>
      </c>
      <c r="H57" s="45">
        <f t="shared" si="8"/>
        <v>843948.15</v>
      </c>
      <c r="I57" s="45">
        <f t="shared" si="8"/>
        <v>1023023.76</v>
      </c>
      <c r="J57" s="45">
        <f t="shared" si="8"/>
        <v>915005.15</v>
      </c>
      <c r="K57" s="45">
        <f t="shared" si="8"/>
        <v>1010176.705</v>
      </c>
      <c r="L57" s="45">
        <f t="shared" si="8"/>
        <v>943275.55499999993</v>
      </c>
      <c r="M57" s="45">
        <f t="shared" si="8"/>
        <v>809652.745</v>
      </c>
      <c r="N57" s="45">
        <f t="shared" si="8"/>
        <v>1357840.655</v>
      </c>
      <c r="O57" s="45">
        <f t="shared" si="8"/>
        <v>1233313.885</v>
      </c>
      <c r="P57" s="45">
        <f t="shared" si="8"/>
        <v>1170311.7150000001</v>
      </c>
      <c r="Q57" s="45">
        <f>SUM(Q53:Q56)</f>
        <v>11826834.734999999</v>
      </c>
      <c r="R57" s="45">
        <v>11605414.8595</v>
      </c>
      <c r="S57" s="159">
        <f>Q57/$Q$50</f>
        <v>0.33680874776904157</v>
      </c>
      <c r="T57" s="159"/>
      <c r="U57" s="148"/>
      <c r="V57" s="40" t="e">
        <f t="shared" si="7"/>
        <v>#DIV/0!</v>
      </c>
    </row>
    <row r="58" spans="1:22" s="77" customFormat="1" ht="25.4" customHeight="1">
      <c r="A58" s="3"/>
      <c r="B58" s="3"/>
      <c r="C58" s="3"/>
      <c r="D58" s="26"/>
      <c r="E58" s="63"/>
      <c r="F58" s="63"/>
      <c r="G58" s="63"/>
      <c r="H58" s="63"/>
      <c r="I58" s="63"/>
      <c r="J58" s="3"/>
      <c r="K58" s="3"/>
      <c r="L58" s="152"/>
      <c r="Q58" s="150"/>
      <c r="U58" s="148"/>
      <c r="V58" s="40"/>
    </row>
    <row r="59" spans="1:22" s="77" customFormat="1" ht="25.4" customHeight="1">
      <c r="A59" s="3" t="s">
        <v>106</v>
      </c>
      <c r="B59" s="3" t="s">
        <v>403</v>
      </c>
      <c r="C59" s="3"/>
      <c r="D59" s="21" t="s">
        <v>139</v>
      </c>
      <c r="E59" s="45">
        <f>+E203</f>
        <v>1362520.39</v>
      </c>
      <c r="F59" s="45">
        <f t="shared" ref="F59:P59" si="9">+F203</f>
        <v>1182782.58</v>
      </c>
      <c r="G59" s="45">
        <f t="shared" si="9"/>
        <v>1233159.9000000001</v>
      </c>
      <c r="H59" s="45">
        <f t="shared" si="9"/>
        <v>1278210.74</v>
      </c>
      <c r="I59" s="45">
        <f t="shared" si="9"/>
        <v>1386113.21</v>
      </c>
      <c r="J59" s="45">
        <f t="shared" si="9"/>
        <v>1330303.1499999999</v>
      </c>
      <c r="K59" s="45">
        <f t="shared" si="9"/>
        <v>1356873.45</v>
      </c>
      <c r="L59" s="45">
        <f t="shared" si="9"/>
        <v>1347680.7299999997</v>
      </c>
      <c r="M59" s="45">
        <f t="shared" si="9"/>
        <v>1349588.47</v>
      </c>
      <c r="N59" s="45">
        <f t="shared" si="9"/>
        <v>1573753.07</v>
      </c>
      <c r="O59" s="45">
        <f t="shared" si="9"/>
        <v>1438133.15</v>
      </c>
      <c r="P59" s="45">
        <f t="shared" si="9"/>
        <v>1450210.74</v>
      </c>
      <c r="Q59" s="45">
        <f>SUM(E59:P59)</f>
        <v>16289329.580000002</v>
      </c>
      <c r="R59" s="45">
        <v>15324928.66</v>
      </c>
      <c r="S59" s="159">
        <f>Q59/$Q$50</f>
        <v>0.46389324115612657</v>
      </c>
      <c r="T59" s="159"/>
      <c r="U59" s="148"/>
      <c r="V59" s="40" t="e">
        <f>-IF(Q59-U59=0,0,(Q59-U59)/U59)</f>
        <v>#DIV/0!</v>
      </c>
    </row>
    <row r="60" spans="1:22" s="77" customFormat="1" ht="25.4" customHeight="1">
      <c r="A60" s="3"/>
      <c r="B60" s="3"/>
      <c r="C60" s="3"/>
      <c r="D60" s="26"/>
      <c r="E60" s="77">
        <f>'Fangfei Lounge'!E36+Banquet!E37+'Main Kitchen'!E12+STW!E12</f>
        <v>713537.59</v>
      </c>
      <c r="F60" s="77">
        <f>'Fangfei Lounge'!F36+Banquet!F37+'Main Kitchen'!F12+STW!F12</f>
        <v>473787.55</v>
      </c>
      <c r="G60" s="77">
        <f>'Fangfei Lounge'!G36+Banquet!G37+'Main Kitchen'!G12+STW!G12</f>
        <v>696201.10000000009</v>
      </c>
      <c r="H60" s="77">
        <f>'Fangfei Lounge'!H36+Banquet!H37+'Main Kitchen'!H12+STW!H12</f>
        <v>671458.47</v>
      </c>
      <c r="I60" s="77">
        <f>'Fangfei Lounge'!I36+Banquet!I37+'Main Kitchen'!I12+STW!I12</f>
        <v>773067.63</v>
      </c>
      <c r="J60" s="77">
        <f>'Fangfei Lounge'!J36+Banquet!J37+'Main Kitchen'!J12+STW!J12</f>
        <v>730298.97</v>
      </c>
      <c r="K60" s="77">
        <f>'Fangfei Lounge'!K36+Banquet!K37+'Main Kitchen'!K12+STW!K12</f>
        <v>702541.72</v>
      </c>
      <c r="L60" s="77">
        <f>'Fangfei Lounge'!L36+Banquet!L37+'Main Kitchen'!L12+STW!L12</f>
        <v>653271.0199999999</v>
      </c>
      <c r="M60" s="77">
        <f>'Fangfei Lounge'!M36+Banquet!M37+'Main Kitchen'!M12+STW!M12</f>
        <v>546304.15</v>
      </c>
      <c r="N60" s="77">
        <f>'Fangfei Lounge'!N36+Banquet!N37+'Main Kitchen'!N12+STW!N12</f>
        <v>945621.21</v>
      </c>
      <c r="O60" s="77">
        <f>'Fangfei Lounge'!O36+Banquet!O37+'Main Kitchen'!O12+STW!O12</f>
        <v>871108.2100000002</v>
      </c>
      <c r="P60" s="77">
        <f>'Fangfei Lounge'!P36+Banquet!P37+'Main Kitchen'!P12+STW!P12</f>
        <v>851911.48</v>
      </c>
      <c r="Q60" s="77">
        <f>'Fangfei Lounge'!Q36+Banquet!Q37+'Main Kitchen'!Q12+STW!Q12</f>
        <v>8629109.0999999996</v>
      </c>
      <c r="U60" s="148"/>
      <c r="V60" s="40"/>
    </row>
    <row r="61" spans="1:22" s="77" customFormat="1" ht="25.4" customHeight="1">
      <c r="A61" s="3"/>
      <c r="B61" s="3"/>
      <c r="C61" s="3"/>
      <c r="D61" s="21" t="s">
        <v>140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S61" s="34" t="s">
        <v>421</v>
      </c>
      <c r="T61" s="34"/>
      <c r="U61" s="148"/>
      <c r="V61" s="40"/>
    </row>
    <row r="62" spans="1:22" s="77" customFormat="1" ht="25.4" customHeight="1">
      <c r="A62" s="3" t="s">
        <v>142</v>
      </c>
      <c r="B62" s="3" t="s">
        <v>403</v>
      </c>
      <c r="C62" s="3"/>
      <c r="D62" s="26" t="s">
        <v>143</v>
      </c>
      <c r="E62" s="63">
        <f>'Lobby Lounge'!E39+'Fangfei Lounge'!E39+'Royal Court'!E39+'MP Cafe'!E39+'Pingju Zhuhai'!E39+'Room Service'!E39+Banquet!E40+Minibar!E27+STW!E15+'Main Kitchen'!E15+'F&amp;B Admin'!E15</f>
        <v>0</v>
      </c>
      <c r="F62" s="63">
        <f>'Lobby Lounge'!F39+'Fangfei Lounge'!F39+'Royal Court'!F39+'MP Cafe'!F39+'Pingju Zhuhai'!F39+'Room Service'!F39+Banquet!F40+Minibar!F27+STW!F15+'Main Kitchen'!F15+'F&amp;B Admin'!F15</f>
        <v>0</v>
      </c>
      <c r="G62" s="63">
        <f>'Lobby Lounge'!G39+'Fangfei Lounge'!G39+'Royal Court'!G39+'MP Cafe'!G39+'Pingju Zhuhai'!G39+'Room Service'!G39+Banquet!G40+Minibar!G27+STW!G15+'Main Kitchen'!G15+'F&amp;B Admin'!G15</f>
        <v>0</v>
      </c>
      <c r="H62" s="63">
        <f>'Lobby Lounge'!H39+'Fangfei Lounge'!H39+'Royal Court'!H39+'MP Cafe'!H39+'Pingju Zhuhai'!H39+'Room Service'!H39+Banquet!H40+Minibar!H27+STW!H15+'Main Kitchen'!H15+'F&amp;B Admin'!H15</f>
        <v>0</v>
      </c>
      <c r="I62" s="63">
        <f>'Lobby Lounge'!I39+'Fangfei Lounge'!I39+'Royal Court'!I39+'MP Cafe'!I39+'Pingju Zhuhai'!I39+'Room Service'!I39+Banquet!I40+Minibar!I27+STW!I15+'Main Kitchen'!I15+'F&amp;B Admin'!I15</f>
        <v>0</v>
      </c>
      <c r="J62" s="63">
        <f>'Lobby Lounge'!J39+'Fangfei Lounge'!J39+'Royal Court'!J39+'MP Cafe'!J39+'Pingju Zhuhai'!J39+'Room Service'!J39+Banquet!J40+Minibar!J27+STW!J15+'Main Kitchen'!J15+'F&amp;B Admin'!J15</f>
        <v>0</v>
      </c>
      <c r="K62" s="63">
        <f>'Lobby Lounge'!K39+'Fangfei Lounge'!K39+'Royal Court'!K39+'MP Cafe'!K39+'Pingju Zhuhai'!K39+'Room Service'!K39+Banquet!K40+Minibar!K27+STW!K15+'Main Kitchen'!K15+'F&amp;B Admin'!K15</f>
        <v>0</v>
      </c>
      <c r="L62" s="63">
        <f>'Lobby Lounge'!L39+'Fangfei Lounge'!L39+'Royal Court'!L39+'MP Cafe'!L39+'Pingju Zhuhai'!L39+'Room Service'!L39+Banquet!L40+Minibar!L27+STW!L15+'Main Kitchen'!L15+'F&amp;B Admin'!L15</f>
        <v>0</v>
      </c>
      <c r="M62" s="63">
        <f>'Lobby Lounge'!M39+'Fangfei Lounge'!M39+'Royal Court'!M39+'MP Cafe'!M39+'Pingju Zhuhai'!M39+'Room Service'!M39+Banquet!M40+Minibar!M27+STW!M15+'Main Kitchen'!M15+'F&amp;B Admin'!M15</f>
        <v>0</v>
      </c>
      <c r="N62" s="63">
        <f>'Lobby Lounge'!N39+'Fangfei Lounge'!N39+'Royal Court'!N39+'MP Cafe'!N39+'Pingju Zhuhai'!N39+'Room Service'!N39+Banquet!N40+Minibar!N27+STW!N15+'Main Kitchen'!N15+'F&amp;B Admin'!N15</f>
        <v>0</v>
      </c>
      <c r="O62" s="63">
        <f>'Lobby Lounge'!O39+'Fangfei Lounge'!O39+'Royal Court'!O39+'MP Cafe'!O39+'Pingju Zhuhai'!O39+'Room Service'!O39+Banquet!O40+Minibar!O27+STW!O15+'Main Kitchen'!O15+'F&amp;B Admin'!O15</f>
        <v>0</v>
      </c>
      <c r="P62" s="63">
        <f>'Lobby Lounge'!P39+'Fangfei Lounge'!P39+'Royal Court'!P39+'MP Cafe'!P39+'Pingju Zhuhai'!P39+'Room Service'!P39+Banquet!P40+Minibar!P27+STW!P15+'Main Kitchen'!P15+'F&amp;B Admin'!P15</f>
        <v>0</v>
      </c>
      <c r="Q62" s="134">
        <f>SUM(E62:P62)</f>
        <v>0</v>
      </c>
      <c r="R62" s="134">
        <v>0</v>
      </c>
      <c r="S62" s="134">
        <f>Q62/$Q$148</f>
        <v>0</v>
      </c>
      <c r="U62" s="148"/>
      <c r="V62" s="40" t="e">
        <f t="shared" ref="V62:V69" si="10">(Q62-U62)/U62</f>
        <v>#DIV/0!</v>
      </c>
    </row>
    <row r="63" spans="1:22" s="77" customFormat="1" ht="25.4" customHeight="1">
      <c r="A63" s="3" t="s">
        <v>144</v>
      </c>
      <c r="B63" s="3" t="s">
        <v>403</v>
      </c>
      <c r="C63" s="3"/>
      <c r="D63" s="26" t="s">
        <v>145</v>
      </c>
      <c r="E63" s="63">
        <f>'Lobby Lounge'!E40+'Fangfei Lounge'!E40+'Royal Court'!E40+'MP Cafe'!E40+'Pingju Zhuhai'!E40+'Room Service'!E40+Banquet!E41+Minibar!E28+STW!E16+'Main Kitchen'!E16+'F&amp;B Admin'!E16</f>
        <v>0</v>
      </c>
      <c r="F63" s="63">
        <f>'Lobby Lounge'!F40+'Fangfei Lounge'!F40+'Royal Court'!F40+'MP Cafe'!F40+'Pingju Zhuhai'!F40+'Room Service'!F40+Banquet!F41+Minibar!F28+STW!F16+'Main Kitchen'!F16+'F&amp;B Admin'!F16</f>
        <v>0</v>
      </c>
      <c r="G63" s="63">
        <f>'Lobby Lounge'!G40+'Fangfei Lounge'!G40+'Royal Court'!G40+'MP Cafe'!G40+'Pingju Zhuhai'!G40+'Room Service'!G40+Banquet!G41+Minibar!G28+STW!G16+'Main Kitchen'!G16+'F&amp;B Admin'!G16</f>
        <v>0</v>
      </c>
      <c r="H63" s="63">
        <f>'Lobby Lounge'!H40+'Fangfei Lounge'!H40+'Royal Court'!H40+'MP Cafe'!H40+'Pingju Zhuhai'!H40+'Room Service'!H40+Banquet!H41+Minibar!H28+STW!H16+'Main Kitchen'!H16+'F&amp;B Admin'!H16</f>
        <v>0</v>
      </c>
      <c r="I63" s="63">
        <f>'Lobby Lounge'!I40+'Fangfei Lounge'!I40+'Royal Court'!I40+'MP Cafe'!I40+'Pingju Zhuhai'!I40+'Room Service'!I40+Banquet!I41+Minibar!I28+STW!I16+'Main Kitchen'!I16+'F&amp;B Admin'!I16</f>
        <v>0</v>
      </c>
      <c r="J63" s="63">
        <f>'Lobby Lounge'!J40+'Fangfei Lounge'!J40+'Royal Court'!J40+'MP Cafe'!J40+'Pingju Zhuhai'!J40+'Room Service'!J40+Banquet!J41+Minibar!J28+STW!J16+'Main Kitchen'!J16+'F&amp;B Admin'!J16</f>
        <v>0</v>
      </c>
      <c r="K63" s="63">
        <f>'Lobby Lounge'!K40+'Fangfei Lounge'!K40+'Royal Court'!K40+'MP Cafe'!K40+'Pingju Zhuhai'!K40+'Room Service'!K40+Banquet!K41+Minibar!K28+STW!K16+'Main Kitchen'!K16+'F&amp;B Admin'!K16</f>
        <v>0</v>
      </c>
      <c r="L63" s="63">
        <f>'Lobby Lounge'!L40+'Fangfei Lounge'!L40+'Royal Court'!L40+'MP Cafe'!L40+'Pingju Zhuhai'!L40+'Room Service'!L40+Banquet!L41+Minibar!L28+STW!L16+'Main Kitchen'!L16+'F&amp;B Admin'!L16</f>
        <v>0</v>
      </c>
      <c r="M63" s="63">
        <f>'Lobby Lounge'!M40+'Fangfei Lounge'!M40+'Royal Court'!M40+'MP Cafe'!M40+'Pingju Zhuhai'!M40+'Room Service'!M40+Banquet!M41+Minibar!M28+STW!M16+'Main Kitchen'!M16+'F&amp;B Admin'!M16</f>
        <v>0</v>
      </c>
      <c r="N63" s="63">
        <f>'Lobby Lounge'!N40+'Fangfei Lounge'!N40+'Royal Court'!N40+'MP Cafe'!N40+'Pingju Zhuhai'!N40+'Room Service'!N40+Banquet!N41+Minibar!N28+STW!N16+'Main Kitchen'!N16+'F&amp;B Admin'!N16</f>
        <v>0</v>
      </c>
      <c r="O63" s="63">
        <f>'Lobby Lounge'!O40+'Fangfei Lounge'!O40+'Royal Court'!O40+'MP Cafe'!O40+'Pingju Zhuhai'!O40+'Room Service'!O40+Banquet!O41+Minibar!O28+STW!O16+'Main Kitchen'!O16+'F&amp;B Admin'!O16</f>
        <v>0</v>
      </c>
      <c r="P63" s="63">
        <f>'Lobby Lounge'!P40+'Fangfei Lounge'!P40+'Royal Court'!P40+'MP Cafe'!P40+'Pingju Zhuhai'!P40+'Room Service'!P40+Banquet!P41+Minibar!P28+STW!P16+'Main Kitchen'!P16+'F&amp;B Admin'!P16</f>
        <v>0</v>
      </c>
      <c r="Q63" s="134">
        <f t="shared" ref="Q63:Q126" si="11">SUM(E63:P63)</f>
        <v>0</v>
      </c>
      <c r="R63" s="134">
        <v>0</v>
      </c>
      <c r="S63" s="134">
        <f t="shared" ref="S63:S126" si="12">Q63/$Q$148</f>
        <v>0</v>
      </c>
      <c r="U63" s="148"/>
      <c r="V63" s="40" t="e">
        <f t="shared" si="10"/>
        <v>#DIV/0!</v>
      </c>
    </row>
    <row r="64" spans="1:22" s="77" customFormat="1" ht="25.4" customHeight="1">
      <c r="A64" s="3" t="s">
        <v>146</v>
      </c>
      <c r="B64" s="3" t="s">
        <v>403</v>
      </c>
      <c r="C64" s="3"/>
      <c r="D64" s="26" t="s">
        <v>147</v>
      </c>
      <c r="E64" s="63">
        <f>'Lobby Lounge'!E41+'Fangfei Lounge'!E41+'Royal Court'!E41+'MP Cafe'!E41+'Pingju Zhuhai'!E41+'Room Service'!E41+Banquet!E42+Minibar!E29+STW!E17+'Main Kitchen'!E17+'F&amp;B Admin'!E17</f>
        <v>0</v>
      </c>
      <c r="F64" s="63">
        <f>'Lobby Lounge'!F41+'Fangfei Lounge'!F41+'Royal Court'!F41+'MP Cafe'!F41+'Pingju Zhuhai'!F41+'Room Service'!F41+Banquet!F42+Minibar!F29+STW!F17+'Main Kitchen'!F17+'F&amp;B Admin'!F17</f>
        <v>0</v>
      </c>
      <c r="G64" s="63">
        <f>'Lobby Lounge'!G41+'Fangfei Lounge'!G41+'Royal Court'!G41+'MP Cafe'!G41+'Pingju Zhuhai'!G41+'Room Service'!G41+Banquet!G42+Minibar!G29+STW!G17+'Main Kitchen'!G17+'F&amp;B Admin'!G17</f>
        <v>0</v>
      </c>
      <c r="H64" s="63">
        <f>'Lobby Lounge'!H41+'Fangfei Lounge'!H41+'Royal Court'!H41+'MP Cafe'!H41+'Pingju Zhuhai'!H41+'Room Service'!H41+Banquet!H42+Minibar!H29+STW!H17+'Main Kitchen'!H17+'F&amp;B Admin'!H17</f>
        <v>0</v>
      </c>
      <c r="I64" s="63">
        <f>'Lobby Lounge'!I41+'Fangfei Lounge'!I41+'Royal Court'!I41+'MP Cafe'!I41+'Pingju Zhuhai'!I41+'Room Service'!I41+Banquet!I42+Minibar!I29+STW!I17+'Main Kitchen'!I17+'F&amp;B Admin'!I17</f>
        <v>0</v>
      </c>
      <c r="J64" s="63">
        <f>'Lobby Lounge'!J41+'Fangfei Lounge'!J41+'Royal Court'!J41+'MP Cafe'!J41+'Pingju Zhuhai'!J41+'Room Service'!J41+Banquet!J42+Minibar!J29+STW!J17+'Main Kitchen'!J17+'F&amp;B Admin'!J17</f>
        <v>0</v>
      </c>
      <c r="K64" s="63">
        <f>'Lobby Lounge'!K41+'Fangfei Lounge'!K41+'Royal Court'!K41+'MP Cafe'!K41+'Pingju Zhuhai'!K41+'Room Service'!K41+Banquet!K42+Minibar!K29+STW!K17+'Main Kitchen'!K17+'F&amp;B Admin'!K17</f>
        <v>0</v>
      </c>
      <c r="L64" s="63">
        <f>'Lobby Lounge'!L41+'Fangfei Lounge'!L41+'Royal Court'!L41+'MP Cafe'!L41+'Pingju Zhuhai'!L41+'Room Service'!L41+Banquet!L42+Minibar!L29+STW!L17+'Main Kitchen'!L17+'F&amp;B Admin'!L17</f>
        <v>0</v>
      </c>
      <c r="M64" s="63">
        <f>'Lobby Lounge'!M41+'Fangfei Lounge'!M41+'Royal Court'!M41+'MP Cafe'!M41+'Pingju Zhuhai'!M41+'Room Service'!M41+Banquet!M42+Minibar!M29+STW!M17+'Main Kitchen'!M17+'F&amp;B Admin'!M17</f>
        <v>0</v>
      </c>
      <c r="N64" s="63">
        <f>'Lobby Lounge'!N41+'Fangfei Lounge'!N41+'Royal Court'!N41+'MP Cafe'!N41+'Pingju Zhuhai'!N41+'Room Service'!N41+Banquet!N42+Minibar!N29+STW!N17+'Main Kitchen'!N17+'F&amp;B Admin'!N17</f>
        <v>0</v>
      </c>
      <c r="O64" s="63">
        <f>'Lobby Lounge'!O41+'Fangfei Lounge'!O41+'Royal Court'!O41+'MP Cafe'!O41+'Pingju Zhuhai'!O41+'Room Service'!O41+Banquet!O42+Minibar!O29+STW!O17+'Main Kitchen'!O17+'F&amp;B Admin'!O17</f>
        <v>0</v>
      </c>
      <c r="P64" s="63">
        <f>'Lobby Lounge'!P41+'Fangfei Lounge'!P41+'Royal Court'!P41+'MP Cafe'!P41+'Pingju Zhuhai'!P41+'Room Service'!P41+Banquet!P42+Minibar!P29+STW!P17+'Main Kitchen'!P17+'F&amp;B Admin'!P17</f>
        <v>0</v>
      </c>
      <c r="Q64" s="134">
        <f t="shared" si="11"/>
        <v>0</v>
      </c>
      <c r="R64" s="134">
        <v>0</v>
      </c>
      <c r="S64" s="134">
        <f t="shared" si="12"/>
        <v>0</v>
      </c>
      <c r="U64" s="148"/>
      <c r="V64" s="40" t="e">
        <f t="shared" si="10"/>
        <v>#DIV/0!</v>
      </c>
    </row>
    <row r="65" spans="1:22" s="77" customFormat="1" ht="25.4" customHeight="1">
      <c r="A65" s="3" t="s">
        <v>148</v>
      </c>
      <c r="B65" s="3" t="s">
        <v>403</v>
      </c>
      <c r="C65" s="3"/>
      <c r="D65" s="26" t="s">
        <v>149</v>
      </c>
      <c r="E65" s="63">
        <f>'Lobby Lounge'!E42+'Fangfei Lounge'!E42+'Royal Court'!E42+'MP Cafe'!E42+'Pingju Zhuhai'!E42+'Room Service'!E42+Banquet!E43+Minibar!E30+STW!E18+'Main Kitchen'!E18+'F&amp;B Admin'!E18</f>
        <v>10385</v>
      </c>
      <c r="F65" s="63">
        <f>'Lobby Lounge'!F42+'Fangfei Lounge'!F42+'Royal Court'!F42+'MP Cafe'!F42+'Pingju Zhuhai'!F42+'Room Service'!F42+Banquet!F43+Minibar!F30+STW!F18+'Main Kitchen'!F18+'F&amp;B Admin'!F18</f>
        <v>6497</v>
      </c>
      <c r="G65" s="63">
        <f>'Lobby Lounge'!G42+'Fangfei Lounge'!G42+'Royal Court'!G42+'MP Cafe'!G42+'Pingju Zhuhai'!G42+'Room Service'!G42+Banquet!G43+Minibar!G30+STW!G18+'Main Kitchen'!G18+'F&amp;B Admin'!G18</f>
        <v>11905</v>
      </c>
      <c r="H65" s="63">
        <f>'Lobby Lounge'!H42+'Fangfei Lounge'!H42+'Royal Court'!H42+'MP Cafe'!H42+'Pingju Zhuhai'!H42+'Room Service'!H42+Banquet!H43+Minibar!H30+STW!H18+'Main Kitchen'!H18+'F&amp;B Admin'!H18</f>
        <v>9450</v>
      </c>
      <c r="I65" s="63">
        <f>'Lobby Lounge'!I42+'Fangfei Lounge'!I42+'Royal Court'!I42+'MP Cafe'!I42+'Pingju Zhuhai'!I42+'Room Service'!I42+Banquet!I43+Minibar!I30+STW!I18+'Main Kitchen'!I18+'F&amp;B Admin'!I18</f>
        <v>11215</v>
      </c>
      <c r="J65" s="63">
        <f>'Lobby Lounge'!J42+'Fangfei Lounge'!J42+'Royal Court'!J42+'MP Cafe'!J42+'Pingju Zhuhai'!J42+'Room Service'!J42+Banquet!J43+Minibar!J30+STW!J18+'Main Kitchen'!J18+'F&amp;B Admin'!J18</f>
        <v>11280</v>
      </c>
      <c r="K65" s="63">
        <f>'Lobby Lounge'!K42+'Fangfei Lounge'!K42+'Royal Court'!K42+'MP Cafe'!K42+'Pingju Zhuhai'!K42+'Room Service'!K42+Banquet!K43+Minibar!K30+STW!K18+'Main Kitchen'!K18+'F&amp;B Admin'!K18</f>
        <v>10385</v>
      </c>
      <c r="L65" s="63">
        <f>'Lobby Lounge'!L42+'Fangfei Lounge'!L42+'Royal Court'!L42+'MP Cafe'!L42+'Pingju Zhuhai'!L42+'Room Service'!L42+Banquet!L43+Minibar!L30+STW!L18+'Main Kitchen'!L18+'F&amp;B Admin'!L18</f>
        <v>9017</v>
      </c>
      <c r="M65" s="63">
        <f>'Lobby Lounge'!M42+'Fangfei Lounge'!M42+'Royal Court'!M42+'MP Cafe'!M42+'Pingju Zhuhai'!M42+'Room Service'!M42+Banquet!M43+Minibar!M30+STW!M18+'Main Kitchen'!M18+'F&amp;B Admin'!M18</f>
        <v>6765</v>
      </c>
      <c r="N65" s="63">
        <f>'Lobby Lounge'!N42+'Fangfei Lounge'!N42+'Royal Court'!N42+'MP Cafe'!N42+'Pingju Zhuhai'!N42+'Room Service'!N42+Banquet!N43+Minibar!N30+STW!N18+'Main Kitchen'!N18+'F&amp;B Admin'!N18</f>
        <v>14965</v>
      </c>
      <c r="O65" s="63">
        <f>'Lobby Lounge'!O42+'Fangfei Lounge'!O42+'Royal Court'!O42+'MP Cafe'!O42+'Pingju Zhuhai'!O42+'Room Service'!O42+Banquet!O43+Minibar!O30+STW!O18+'Main Kitchen'!O18+'F&amp;B Admin'!O18</f>
        <v>15122</v>
      </c>
      <c r="P65" s="63">
        <f>'Lobby Lounge'!P42+'Fangfei Lounge'!P42+'Royal Court'!P42+'MP Cafe'!P42+'Pingju Zhuhai'!P42+'Room Service'!P42+Banquet!P43+Minibar!P30+STW!P18+'Main Kitchen'!P18+'F&amp;B Admin'!P18</f>
        <v>14227</v>
      </c>
      <c r="Q65" s="134">
        <f t="shared" si="11"/>
        <v>131213</v>
      </c>
      <c r="R65" s="134">
        <v>3812.44</v>
      </c>
      <c r="S65" s="134">
        <f t="shared" si="12"/>
        <v>1.0125631824671066</v>
      </c>
      <c r="U65" s="148"/>
      <c r="V65" s="40" t="e">
        <f t="shared" si="10"/>
        <v>#DIV/0!</v>
      </c>
    </row>
    <row r="66" spans="1:22" s="77" customFormat="1" ht="25.4" customHeight="1">
      <c r="A66" s="3" t="s">
        <v>150</v>
      </c>
      <c r="B66" s="3" t="s">
        <v>403</v>
      </c>
      <c r="C66" s="3"/>
      <c r="D66" s="26" t="s">
        <v>151</v>
      </c>
      <c r="E66" s="63">
        <f>'Lobby Lounge'!E43+'Fangfei Lounge'!E43+'Royal Court'!E43+'MP Cafe'!E43+'Pingju Zhuhai'!E43+'Room Service'!E43+Banquet!E44+Minibar!E31+STW!E19+'Main Kitchen'!E19+'F&amp;B Admin'!E19</f>
        <v>0</v>
      </c>
      <c r="F66" s="63">
        <f>'Lobby Lounge'!F43+'Fangfei Lounge'!F43+'Royal Court'!F43+'MP Cafe'!F43+'Pingju Zhuhai'!F43+'Room Service'!F43+Banquet!F44+Minibar!F31+STW!F19+'Main Kitchen'!F19+'F&amp;B Admin'!F19</f>
        <v>0</v>
      </c>
      <c r="G66" s="63">
        <f>'Lobby Lounge'!G43+'Fangfei Lounge'!G43+'Royal Court'!G43+'MP Cafe'!G43+'Pingju Zhuhai'!G43+'Room Service'!G43+Banquet!G44+Minibar!G31+STW!G19+'Main Kitchen'!G19+'F&amp;B Admin'!G19</f>
        <v>0</v>
      </c>
      <c r="H66" s="63">
        <f>'Lobby Lounge'!H43+'Fangfei Lounge'!H43+'Royal Court'!H43+'MP Cafe'!H43+'Pingju Zhuhai'!H43+'Room Service'!H43+Banquet!H44+Minibar!H31+STW!H19+'Main Kitchen'!H19+'F&amp;B Admin'!H19</f>
        <v>0</v>
      </c>
      <c r="I66" s="63">
        <f>'Lobby Lounge'!I43+'Fangfei Lounge'!I43+'Royal Court'!I43+'MP Cafe'!I43+'Pingju Zhuhai'!I43+'Room Service'!I43+Banquet!I44+Minibar!I31+STW!I19+'Main Kitchen'!I19+'F&amp;B Admin'!I19</f>
        <v>0</v>
      </c>
      <c r="J66" s="63">
        <f>'Lobby Lounge'!J43+'Fangfei Lounge'!J43+'Royal Court'!J43+'MP Cafe'!J43+'Pingju Zhuhai'!J43+'Room Service'!J43+Banquet!J44+Minibar!J31+STW!J19+'Main Kitchen'!J19+'F&amp;B Admin'!J19</f>
        <v>0</v>
      </c>
      <c r="K66" s="63">
        <f>'Lobby Lounge'!K43+'Fangfei Lounge'!K43+'Royal Court'!K43+'MP Cafe'!K43+'Pingju Zhuhai'!K43+'Room Service'!K43+Banquet!K44+Minibar!K31+STW!K19+'Main Kitchen'!K19+'F&amp;B Admin'!K19</f>
        <v>0</v>
      </c>
      <c r="L66" s="63">
        <f>'Lobby Lounge'!L43+'Fangfei Lounge'!L43+'Royal Court'!L43+'MP Cafe'!L43+'Pingju Zhuhai'!L43+'Room Service'!L43+Banquet!L44+Minibar!L31+STW!L19+'Main Kitchen'!L19+'F&amp;B Admin'!L19</f>
        <v>0</v>
      </c>
      <c r="M66" s="63">
        <f>'Lobby Lounge'!M43+'Fangfei Lounge'!M43+'Royal Court'!M43+'MP Cafe'!M43+'Pingju Zhuhai'!M43+'Room Service'!M43+Banquet!M44+Minibar!M31+STW!M19+'Main Kitchen'!M19+'F&amp;B Admin'!M19</f>
        <v>0</v>
      </c>
      <c r="N66" s="63">
        <f>'Lobby Lounge'!N43+'Fangfei Lounge'!N43+'Royal Court'!N43+'MP Cafe'!N43+'Pingju Zhuhai'!N43+'Room Service'!N43+Banquet!N44+Minibar!N31+STW!N19+'Main Kitchen'!N19+'F&amp;B Admin'!N19</f>
        <v>0</v>
      </c>
      <c r="O66" s="63">
        <f>'Lobby Lounge'!O43+'Fangfei Lounge'!O43+'Royal Court'!O43+'MP Cafe'!O43+'Pingju Zhuhai'!O43+'Room Service'!O43+Banquet!O44+Minibar!O31+STW!O19+'Main Kitchen'!O19+'F&amp;B Admin'!O19</f>
        <v>0</v>
      </c>
      <c r="P66" s="63">
        <f>'Lobby Lounge'!P43+'Fangfei Lounge'!P43+'Royal Court'!P43+'MP Cafe'!P43+'Pingju Zhuhai'!P43+'Room Service'!P43+Banquet!P44+Minibar!P31+STW!P19+'Main Kitchen'!P19+'F&amp;B Admin'!P19</f>
        <v>0</v>
      </c>
      <c r="Q66" s="134">
        <f t="shared" si="11"/>
        <v>0</v>
      </c>
      <c r="R66" s="134">
        <v>0</v>
      </c>
      <c r="S66" s="134">
        <f t="shared" si="12"/>
        <v>0</v>
      </c>
      <c r="U66" s="148"/>
      <c r="V66" s="40" t="e">
        <f t="shared" si="10"/>
        <v>#DIV/0!</v>
      </c>
    </row>
    <row r="67" spans="1:22" s="77" customFormat="1" ht="25.4" customHeight="1">
      <c r="A67" s="3" t="s">
        <v>152</v>
      </c>
      <c r="B67" s="3" t="s">
        <v>403</v>
      </c>
      <c r="C67" s="3"/>
      <c r="D67" s="26" t="s">
        <v>153</v>
      </c>
      <c r="E67" s="63">
        <f>'Lobby Lounge'!E44+'Fangfei Lounge'!E44+'Royal Court'!E44+'MP Cafe'!E44+'Pingju Zhuhai'!E44+'Room Service'!E44+Banquet!E45+Minibar!E32+STW!E20+'Main Kitchen'!E20+'F&amp;B Admin'!E20</f>
        <v>0</v>
      </c>
      <c r="F67" s="63">
        <f>'Lobby Lounge'!F44+'Fangfei Lounge'!F44+'Royal Court'!F44+'MP Cafe'!F44+'Pingju Zhuhai'!F44+'Room Service'!F44+Banquet!F45+Minibar!F32+STW!F20+'Main Kitchen'!F20+'F&amp;B Admin'!F20</f>
        <v>0</v>
      </c>
      <c r="G67" s="63">
        <f>'Lobby Lounge'!G44+'Fangfei Lounge'!G44+'Royal Court'!G44+'MP Cafe'!G44+'Pingju Zhuhai'!G44+'Room Service'!G44+Banquet!G45+Minibar!G32+STW!G20+'Main Kitchen'!G20+'F&amp;B Admin'!G20</f>
        <v>0</v>
      </c>
      <c r="H67" s="63">
        <f>'Lobby Lounge'!H44+'Fangfei Lounge'!H44+'Royal Court'!H44+'MP Cafe'!H44+'Pingju Zhuhai'!H44+'Room Service'!H44+Banquet!H45+Minibar!H32+STW!H20+'Main Kitchen'!H20+'F&amp;B Admin'!H20</f>
        <v>0</v>
      </c>
      <c r="I67" s="63">
        <f>'Lobby Lounge'!I44+'Fangfei Lounge'!I44+'Royal Court'!I44+'MP Cafe'!I44+'Pingju Zhuhai'!I44+'Room Service'!I44+Banquet!I45+Minibar!I32+STW!I20+'Main Kitchen'!I20+'F&amp;B Admin'!I20</f>
        <v>0</v>
      </c>
      <c r="J67" s="63">
        <f>'Lobby Lounge'!J44+'Fangfei Lounge'!J44+'Royal Court'!J44+'MP Cafe'!J44+'Pingju Zhuhai'!J44+'Room Service'!J44+Banquet!J45+Minibar!J32+STW!J20+'Main Kitchen'!J20+'F&amp;B Admin'!J20</f>
        <v>0</v>
      </c>
      <c r="K67" s="63">
        <f>'Lobby Lounge'!K44+'Fangfei Lounge'!K44+'Royal Court'!K44+'MP Cafe'!K44+'Pingju Zhuhai'!K44+'Room Service'!K44+Banquet!K45+Minibar!K32+STW!K20+'Main Kitchen'!K20+'F&amp;B Admin'!K20</f>
        <v>0</v>
      </c>
      <c r="L67" s="63">
        <f>'Lobby Lounge'!L44+'Fangfei Lounge'!L44+'Royal Court'!L44+'MP Cafe'!L44+'Pingju Zhuhai'!L44+'Room Service'!L44+Banquet!L45+Minibar!L32+STW!L20+'Main Kitchen'!L20+'F&amp;B Admin'!L20</f>
        <v>0</v>
      </c>
      <c r="M67" s="63">
        <f>'Lobby Lounge'!M44+'Fangfei Lounge'!M44+'Royal Court'!M44+'MP Cafe'!M44+'Pingju Zhuhai'!M44+'Room Service'!M44+Banquet!M45+Minibar!M32+STW!M20+'Main Kitchen'!M20+'F&amp;B Admin'!M20</f>
        <v>0</v>
      </c>
      <c r="N67" s="63">
        <f>'Lobby Lounge'!N44+'Fangfei Lounge'!N44+'Royal Court'!N44+'MP Cafe'!N44+'Pingju Zhuhai'!N44+'Room Service'!N44+Banquet!N45+Minibar!N32+STW!N20+'Main Kitchen'!N20+'F&amp;B Admin'!N20</f>
        <v>0</v>
      </c>
      <c r="O67" s="63">
        <f>'Lobby Lounge'!O44+'Fangfei Lounge'!O44+'Royal Court'!O44+'MP Cafe'!O44+'Pingju Zhuhai'!O44+'Room Service'!O44+Banquet!O45+Minibar!O32+STW!O20+'Main Kitchen'!O20+'F&amp;B Admin'!O20</f>
        <v>0</v>
      </c>
      <c r="P67" s="63">
        <f>'Lobby Lounge'!P44+'Fangfei Lounge'!P44+'Royal Court'!P44+'MP Cafe'!P44+'Pingju Zhuhai'!P44+'Room Service'!P44+Banquet!P45+Minibar!P32+STW!P20+'Main Kitchen'!P20+'F&amp;B Admin'!P20</f>
        <v>0</v>
      </c>
      <c r="Q67" s="134">
        <f t="shared" si="11"/>
        <v>0</v>
      </c>
      <c r="R67" s="134">
        <v>0</v>
      </c>
      <c r="S67" s="134">
        <f t="shared" si="12"/>
        <v>0</v>
      </c>
      <c r="U67" s="148"/>
      <c r="V67" s="40" t="e">
        <f t="shared" si="10"/>
        <v>#DIV/0!</v>
      </c>
    </row>
    <row r="68" spans="1:22" s="77" customFormat="1" ht="25.4" customHeight="1">
      <c r="A68" s="3" t="s">
        <v>154</v>
      </c>
      <c r="B68" s="3" t="s">
        <v>403</v>
      </c>
      <c r="C68" s="3"/>
      <c r="D68" s="26" t="s">
        <v>155</v>
      </c>
      <c r="E68" s="63">
        <f>'Lobby Lounge'!E45+'Fangfei Lounge'!E45+'Royal Court'!E45+'MP Cafe'!E45+'Pingju Zhuhai'!E45+'Room Service'!E45+Banquet!E46+Minibar!E33+STW!E21+'Main Kitchen'!E21+'F&amp;B Admin'!E21</f>
        <v>1000</v>
      </c>
      <c r="F68" s="63">
        <f>'Lobby Lounge'!F45+'Fangfei Lounge'!F45+'Royal Court'!F45+'MP Cafe'!F45+'Pingju Zhuhai'!F45+'Room Service'!F45+Banquet!F46+Minibar!F33+STW!F21+'Main Kitchen'!F21+'F&amp;B Admin'!F21</f>
        <v>1000</v>
      </c>
      <c r="G68" s="63">
        <f>'Lobby Lounge'!G45+'Fangfei Lounge'!G45+'Royal Court'!G45+'MP Cafe'!G45+'Pingju Zhuhai'!G45+'Room Service'!G45+Banquet!G46+Minibar!G33+STW!G21+'Main Kitchen'!G21+'F&amp;B Admin'!G21</f>
        <v>2500</v>
      </c>
      <c r="H68" s="63">
        <f>'Lobby Lounge'!H45+'Fangfei Lounge'!H45+'Royal Court'!H45+'MP Cafe'!H45+'Pingju Zhuhai'!H45+'Room Service'!H45+Banquet!H46+Minibar!H33+STW!H21+'Main Kitchen'!H21+'F&amp;B Admin'!H21</f>
        <v>1000</v>
      </c>
      <c r="I68" s="63">
        <f>'Lobby Lounge'!I45+'Fangfei Lounge'!I45+'Royal Court'!I45+'MP Cafe'!I45+'Pingju Zhuhai'!I45+'Room Service'!I45+Banquet!I46+Minibar!I33+STW!I21+'Main Kitchen'!I21+'F&amp;B Admin'!I21</f>
        <v>1000</v>
      </c>
      <c r="J68" s="63">
        <f>'Lobby Lounge'!J45+'Fangfei Lounge'!J45+'Royal Court'!J45+'MP Cafe'!J45+'Pingju Zhuhai'!J45+'Room Service'!J45+Banquet!J46+Minibar!J33+STW!J21+'Main Kitchen'!J21+'F&amp;B Admin'!J21</f>
        <v>2500</v>
      </c>
      <c r="K68" s="63">
        <f>'Lobby Lounge'!K45+'Fangfei Lounge'!K45+'Royal Court'!K45+'MP Cafe'!K45+'Pingju Zhuhai'!K45+'Room Service'!K45+Banquet!K46+Minibar!K33+STW!K21+'Main Kitchen'!K21+'F&amp;B Admin'!K21</f>
        <v>1000</v>
      </c>
      <c r="L68" s="63">
        <f>'Lobby Lounge'!L45+'Fangfei Lounge'!L45+'Royal Court'!L45+'MP Cafe'!L45+'Pingju Zhuhai'!L45+'Room Service'!L45+Banquet!L46+Minibar!L33+STW!L21+'Main Kitchen'!L21+'F&amp;B Admin'!L21</f>
        <v>1000</v>
      </c>
      <c r="M68" s="63">
        <f>'Lobby Lounge'!M45+'Fangfei Lounge'!M45+'Royal Court'!M45+'MP Cafe'!M45+'Pingju Zhuhai'!M45+'Room Service'!M45+Banquet!M46+Minibar!M33+STW!M21+'Main Kitchen'!M21+'F&amp;B Admin'!M21</f>
        <v>2500</v>
      </c>
      <c r="N68" s="63">
        <f>'Lobby Lounge'!N45+'Fangfei Lounge'!N45+'Royal Court'!N45+'MP Cafe'!N45+'Pingju Zhuhai'!N45+'Room Service'!N45+Banquet!N46+Minibar!N33+STW!N21+'Main Kitchen'!N21+'F&amp;B Admin'!N21</f>
        <v>1000</v>
      </c>
      <c r="O68" s="63">
        <f>'Lobby Lounge'!O45+'Fangfei Lounge'!O45+'Royal Court'!O45+'MP Cafe'!O45+'Pingju Zhuhai'!O45+'Room Service'!O45+Banquet!O46+Minibar!O33+STW!O21+'Main Kitchen'!O21+'F&amp;B Admin'!O21</f>
        <v>1000</v>
      </c>
      <c r="P68" s="63">
        <f>'Lobby Lounge'!P45+'Fangfei Lounge'!P45+'Royal Court'!P45+'MP Cafe'!P45+'Pingju Zhuhai'!P45+'Room Service'!P45+Banquet!P46+Minibar!P33+STW!P21+'Main Kitchen'!P21+'F&amp;B Admin'!P21</f>
        <v>2500</v>
      </c>
      <c r="Q68" s="134">
        <f t="shared" si="11"/>
        <v>18000</v>
      </c>
      <c r="R68" s="134">
        <v>3813.29</v>
      </c>
      <c r="S68" s="134">
        <f t="shared" si="12"/>
        <v>0.13890496585252923</v>
      </c>
      <c r="U68" s="148"/>
      <c r="V68" s="40" t="e">
        <f t="shared" si="10"/>
        <v>#DIV/0!</v>
      </c>
    </row>
    <row r="69" spans="1:22" s="77" customFormat="1" ht="25.4" customHeight="1">
      <c r="A69" s="3" t="s">
        <v>156</v>
      </c>
      <c r="B69" s="3" t="s">
        <v>403</v>
      </c>
      <c r="C69" s="3"/>
      <c r="D69" s="26" t="s">
        <v>157</v>
      </c>
      <c r="E69" s="63">
        <f>'Lobby Lounge'!E46+'Fangfei Lounge'!E46+'Royal Court'!E46+'MP Cafe'!E46+'Pingju Zhuhai'!E46+'Room Service'!E46+Banquet!E47+Minibar!E34+STW!E22+'Main Kitchen'!E22+'F&amp;B Admin'!E22</f>
        <v>27689.5</v>
      </c>
      <c r="F69" s="63">
        <f>'Lobby Lounge'!F46+'Fangfei Lounge'!F46+'Royal Court'!F46+'MP Cafe'!F46+'Pingju Zhuhai'!F46+'Room Service'!F46+Banquet!F47+Minibar!F34+STW!F22+'Main Kitchen'!F22+'F&amp;B Admin'!F22</f>
        <v>15693.5</v>
      </c>
      <c r="G69" s="63">
        <f>'Lobby Lounge'!G46+'Fangfei Lounge'!G46+'Royal Court'!G46+'MP Cafe'!G46+'Pingju Zhuhai'!G46+'Room Service'!G46+Banquet!G47+Minibar!G34+STW!G22+'Main Kitchen'!G22+'F&amp;B Admin'!G22</f>
        <v>30800</v>
      </c>
      <c r="H69" s="63">
        <f>'Lobby Lounge'!H46+'Fangfei Lounge'!H46+'Royal Court'!H46+'MP Cafe'!H46+'Pingju Zhuhai'!H46+'Room Service'!H46+Banquet!H47+Minibar!H34+STW!H22+'Main Kitchen'!H22+'F&amp;B Admin'!H22</f>
        <v>24706</v>
      </c>
      <c r="I69" s="63">
        <f>'Lobby Lounge'!I46+'Fangfei Lounge'!I46+'Royal Court'!I46+'MP Cafe'!I46+'Pingju Zhuhai'!I46+'Room Service'!I46+Banquet!I47+Minibar!I34+STW!I22+'Main Kitchen'!I22+'F&amp;B Admin'!I22</f>
        <v>29203.5</v>
      </c>
      <c r="J69" s="63">
        <f>'Lobby Lounge'!J46+'Fangfei Lounge'!J46+'Royal Court'!J46+'MP Cafe'!J46+'Pingju Zhuhai'!J46+'Room Service'!J46+Banquet!J47+Minibar!J34+STW!J22+'Main Kitchen'!J22+'F&amp;B Admin'!J22</f>
        <v>30720.5</v>
      </c>
      <c r="K69" s="63">
        <f>'Lobby Lounge'!K46+'Fangfei Lounge'!K46+'Royal Court'!K46+'MP Cafe'!K46+'Pingju Zhuhai'!K46+'Room Service'!K46+Banquet!K47+Minibar!K34+STW!K22+'Main Kitchen'!K22+'F&amp;B Admin'!K22</f>
        <v>32123.5</v>
      </c>
      <c r="L69" s="63">
        <f>'Lobby Lounge'!L46+'Fangfei Lounge'!L46+'Royal Court'!L46+'MP Cafe'!L46+'Pingju Zhuhai'!L46+'Room Service'!L46+Banquet!L47+Minibar!L34+STW!L22+'Main Kitchen'!L22+'F&amp;B Admin'!L22</f>
        <v>26698.5</v>
      </c>
      <c r="M69" s="63">
        <f>'Lobby Lounge'!M46+'Fangfei Lounge'!M46+'Royal Court'!M46+'MP Cafe'!M46+'Pingju Zhuhai'!M46+'Room Service'!M46+Banquet!M47+Minibar!M34+STW!M22+'Main Kitchen'!M22+'F&amp;B Admin'!M22</f>
        <v>14946</v>
      </c>
      <c r="N69" s="63">
        <f>'Lobby Lounge'!N46+'Fangfei Lounge'!N46+'Royal Court'!N46+'MP Cafe'!N46+'Pingju Zhuhai'!N46+'Room Service'!N46+Banquet!N47+Minibar!N34+STW!N22+'Main Kitchen'!N22+'F&amp;B Admin'!N22</f>
        <v>43452.5</v>
      </c>
      <c r="O69" s="63">
        <f>'Lobby Lounge'!O46+'Fangfei Lounge'!O46+'Royal Court'!O46+'MP Cafe'!O46+'Pingju Zhuhai'!O46+'Room Service'!O46+Banquet!O47+Minibar!O34+STW!O22+'Main Kitchen'!O22+'F&amp;B Admin'!O22</f>
        <v>42497</v>
      </c>
      <c r="P69" s="63">
        <f>'Lobby Lounge'!P46+'Fangfei Lounge'!P46+'Royal Court'!P46+'MP Cafe'!P46+'Pingju Zhuhai'!P46+'Room Service'!P46+Banquet!P47+Minibar!P34+STW!P22+'Main Kitchen'!P22+'F&amp;B Admin'!P22</f>
        <v>40247.5</v>
      </c>
      <c r="Q69" s="134">
        <f>SUM(E69:P69)</f>
        <v>358778</v>
      </c>
      <c r="R69" s="134">
        <v>0</v>
      </c>
      <c r="S69" s="134">
        <f t="shared" si="12"/>
        <v>2.7686692132577071</v>
      </c>
      <c r="U69" s="148"/>
      <c r="V69" s="40" t="e">
        <f t="shared" si="10"/>
        <v>#DIV/0!</v>
      </c>
    </row>
    <row r="70" spans="1:22" s="77" customFormat="1" ht="25.4" customHeight="1">
      <c r="A70" s="3" t="s">
        <v>158</v>
      </c>
      <c r="B70" s="3" t="s">
        <v>403</v>
      </c>
      <c r="C70" s="3"/>
      <c r="D70" s="26" t="s">
        <v>159</v>
      </c>
      <c r="E70" s="63">
        <f>'Lobby Lounge'!E47+'Fangfei Lounge'!E47+'Royal Court'!E47+'MP Cafe'!E47+'Pingju Zhuhai'!E47+'Room Service'!E47+Banquet!E48+Minibar!E35+STW!E23+'Main Kitchen'!E23+'F&amp;B Admin'!E23</f>
        <v>57500</v>
      </c>
      <c r="F70" s="63">
        <f>'Lobby Lounge'!F47+'Fangfei Lounge'!F47+'Royal Court'!F47+'MP Cafe'!F47+'Pingju Zhuhai'!F47+'Room Service'!F47+Banquet!F48+Minibar!F35+STW!F23+'Main Kitchen'!F23+'F&amp;B Admin'!F23</f>
        <v>57500</v>
      </c>
      <c r="G70" s="63">
        <f>'Lobby Lounge'!G47+'Fangfei Lounge'!G47+'Royal Court'!G47+'MP Cafe'!G47+'Pingju Zhuhai'!G47+'Room Service'!G47+Banquet!G48+Minibar!G35+STW!G23+'Main Kitchen'!G23+'F&amp;B Admin'!G23</f>
        <v>57500</v>
      </c>
      <c r="H70" s="63">
        <f>'Lobby Lounge'!H47+'Fangfei Lounge'!H47+'Royal Court'!H47+'MP Cafe'!H47+'Pingju Zhuhai'!H47+'Room Service'!H47+Banquet!H48+Minibar!H35+STW!H23+'Main Kitchen'!H23+'F&amp;B Admin'!H23</f>
        <v>57500</v>
      </c>
      <c r="I70" s="63">
        <f>'Lobby Lounge'!I47+'Fangfei Lounge'!I47+'Royal Court'!I47+'MP Cafe'!I47+'Pingju Zhuhai'!I47+'Room Service'!I47+Banquet!I48+Minibar!I35+STW!I23+'Main Kitchen'!I23+'F&amp;B Admin'!I23</f>
        <v>57500</v>
      </c>
      <c r="J70" s="63">
        <f>'Lobby Lounge'!J47+'Fangfei Lounge'!J47+'Royal Court'!J47+'MP Cafe'!J47+'Pingju Zhuhai'!J47+'Room Service'!J47+Banquet!J48+Minibar!J35+STW!J23+'Main Kitchen'!J23+'F&amp;B Admin'!J23</f>
        <v>57500</v>
      </c>
      <c r="K70" s="63">
        <f>'Lobby Lounge'!K47+'Fangfei Lounge'!K47+'Royal Court'!K47+'MP Cafe'!K47+'Pingju Zhuhai'!K47+'Room Service'!K47+Banquet!K48+Minibar!K35+STW!K23+'Main Kitchen'!K23+'F&amp;B Admin'!K23</f>
        <v>57500</v>
      </c>
      <c r="L70" s="63">
        <f>'Lobby Lounge'!L47+'Fangfei Lounge'!L47+'Royal Court'!L47+'MP Cafe'!L47+'Pingju Zhuhai'!L47+'Room Service'!L47+Banquet!L48+Minibar!L35+STW!L23+'Main Kitchen'!L23+'F&amp;B Admin'!L23</f>
        <v>57500</v>
      </c>
      <c r="M70" s="63">
        <f>'Lobby Lounge'!M47+'Fangfei Lounge'!M47+'Royal Court'!M47+'MP Cafe'!M47+'Pingju Zhuhai'!M47+'Room Service'!M47+Banquet!M48+Minibar!M35+STW!M23+'Main Kitchen'!M23+'F&amp;B Admin'!M23</f>
        <v>57500</v>
      </c>
      <c r="N70" s="63">
        <f>'Lobby Lounge'!N47+'Fangfei Lounge'!N47+'Royal Court'!N47+'MP Cafe'!N47+'Pingju Zhuhai'!N47+'Room Service'!N47+Banquet!N48+Minibar!N35+STW!N23+'Main Kitchen'!N23+'F&amp;B Admin'!N23</f>
        <v>57500</v>
      </c>
      <c r="O70" s="63">
        <f>'Lobby Lounge'!O47+'Fangfei Lounge'!O47+'Royal Court'!O47+'MP Cafe'!O47+'Pingju Zhuhai'!O47+'Room Service'!O47+Banquet!O48+Minibar!O35+STW!O23+'Main Kitchen'!O23+'F&amp;B Admin'!O23</f>
        <v>57500</v>
      </c>
      <c r="P70" s="63">
        <f>'Lobby Lounge'!P47+'Fangfei Lounge'!P47+'Royal Court'!P47+'MP Cafe'!P47+'Pingju Zhuhai'!P47+'Room Service'!P47+Banquet!P48+Minibar!P35+STW!P23+'Main Kitchen'!P23+'F&amp;B Admin'!P23</f>
        <v>57500</v>
      </c>
      <c r="Q70" s="134">
        <f t="shared" si="11"/>
        <v>690000</v>
      </c>
      <c r="R70" s="134">
        <v>1446021.64</v>
      </c>
      <c r="S70" s="134">
        <f t="shared" si="12"/>
        <v>5.3246903576802866</v>
      </c>
      <c r="U70" s="148"/>
      <c r="V70" s="40" t="e">
        <f>-IF(Q70-U70=0,0,(Q70-U70)/U70)</f>
        <v>#DIV/0!</v>
      </c>
    </row>
    <row r="71" spans="1:22" s="77" customFormat="1" ht="25.4" customHeight="1">
      <c r="A71" s="3" t="s">
        <v>160</v>
      </c>
      <c r="B71" s="3" t="s">
        <v>403</v>
      </c>
      <c r="C71" s="3"/>
      <c r="D71" s="26" t="s">
        <v>161</v>
      </c>
      <c r="E71" s="63">
        <f>'Lobby Lounge'!E48+'Fangfei Lounge'!E48+'Royal Court'!E48+'MP Cafe'!E48+'Pingju Zhuhai'!E48+'Room Service'!E48+Banquet!E49+Minibar!E36+STW!E24+'Main Kitchen'!E24+'F&amp;B Admin'!E24</f>
        <v>9945</v>
      </c>
      <c r="F71" s="63">
        <f>'Lobby Lounge'!F48+'Fangfei Lounge'!F48+'Royal Court'!F48+'MP Cafe'!F48+'Pingju Zhuhai'!F48+'Room Service'!F48+Banquet!F49+Minibar!F36+STW!F24+'Main Kitchen'!F24+'F&amp;B Admin'!F24</f>
        <v>5660</v>
      </c>
      <c r="G71" s="63">
        <f>'Lobby Lounge'!G48+'Fangfei Lounge'!G48+'Royal Court'!G48+'MP Cafe'!G48+'Pingju Zhuhai'!G48+'Room Service'!G48+Banquet!G49+Minibar!G36+STW!G24+'Main Kitchen'!G24+'F&amp;B Admin'!G24</f>
        <v>2945</v>
      </c>
      <c r="H71" s="63">
        <f>'Lobby Lounge'!H48+'Fangfei Lounge'!H48+'Royal Court'!H48+'MP Cafe'!H48+'Pingju Zhuhai'!H48+'Room Service'!H48+Banquet!H49+Minibar!H36+STW!H24+'Main Kitchen'!H24+'F&amp;B Admin'!H24</f>
        <v>2850</v>
      </c>
      <c r="I71" s="63">
        <f>'Lobby Lounge'!I48+'Fangfei Lounge'!I48+'Royal Court'!I48+'MP Cafe'!I48+'Pingju Zhuhai'!I48+'Room Service'!I48+Banquet!I49+Minibar!I36+STW!I24+'Main Kitchen'!I24+'F&amp;B Admin'!I24</f>
        <v>6945</v>
      </c>
      <c r="J71" s="63">
        <f>'Lobby Lounge'!J48+'Fangfei Lounge'!J48+'Royal Court'!J48+'MP Cafe'!J48+'Pingju Zhuhai'!J48+'Room Service'!J48+Banquet!J49+Minibar!J36+STW!J24+'Main Kitchen'!J24+'F&amp;B Admin'!J24</f>
        <v>5850</v>
      </c>
      <c r="K71" s="63">
        <f>'Lobby Lounge'!K48+'Fangfei Lounge'!K48+'Royal Court'!K48+'MP Cafe'!K48+'Pingju Zhuhai'!K48+'Room Service'!K48+Banquet!K49+Minibar!K36+STW!K24+'Main Kitchen'!K24+'F&amp;B Admin'!K24</f>
        <v>5945</v>
      </c>
      <c r="L71" s="63">
        <f>'Lobby Lounge'!L48+'Fangfei Lounge'!L48+'Royal Court'!L48+'MP Cafe'!L48+'Pingju Zhuhai'!L48+'Room Service'!L48+Banquet!L49+Minibar!L36+STW!L24+'Main Kitchen'!L24+'F&amp;B Admin'!L24</f>
        <v>2945</v>
      </c>
      <c r="M71" s="63">
        <f>'Lobby Lounge'!M48+'Fangfei Lounge'!M48+'Royal Court'!M48+'MP Cafe'!M48+'Pingju Zhuhai'!M48+'Room Service'!M48+Banquet!M49+Minibar!M36+STW!M24+'Main Kitchen'!M24+'F&amp;B Admin'!M24</f>
        <v>9850</v>
      </c>
      <c r="N71" s="63">
        <f>'Lobby Lounge'!N48+'Fangfei Lounge'!N48+'Royal Court'!N48+'MP Cafe'!N48+'Pingju Zhuhai'!N48+'Room Service'!N48+Banquet!N49+Minibar!N36+STW!N24+'Main Kitchen'!N24+'F&amp;B Admin'!N24</f>
        <v>5945</v>
      </c>
      <c r="O71" s="63">
        <f>'Lobby Lounge'!O48+'Fangfei Lounge'!O48+'Royal Court'!O48+'MP Cafe'!O48+'Pingju Zhuhai'!O48+'Room Service'!O48+Banquet!O49+Minibar!O36+STW!O24+'Main Kitchen'!O24+'F&amp;B Admin'!O24</f>
        <v>2850</v>
      </c>
      <c r="P71" s="63">
        <f>'Lobby Lounge'!P48+'Fangfei Lounge'!P48+'Royal Court'!P48+'MP Cafe'!P48+'Pingju Zhuhai'!P48+'Room Service'!P48+Banquet!P49+Minibar!P36+STW!P24+'Main Kitchen'!P24+'F&amp;B Admin'!P24</f>
        <v>8945</v>
      </c>
      <c r="Q71" s="134">
        <f t="shared" si="11"/>
        <v>70675</v>
      </c>
      <c r="R71" s="134">
        <v>111726.98</v>
      </c>
      <c r="S71" s="134">
        <f t="shared" si="12"/>
        <v>0.54539491453486133</v>
      </c>
      <c r="U71" s="148"/>
      <c r="V71" s="40" t="e">
        <f t="shared" ref="V71:V123" si="13">-IF(Q71-U71=0,0,(Q71-U71)/U71)</f>
        <v>#DIV/0!</v>
      </c>
    </row>
    <row r="72" spans="1:22" s="77" customFormat="1" ht="25.4" customHeight="1">
      <c r="A72" s="3" t="s">
        <v>162</v>
      </c>
      <c r="B72" s="3" t="s">
        <v>403</v>
      </c>
      <c r="C72" s="3"/>
      <c r="D72" s="26" t="s">
        <v>163</v>
      </c>
      <c r="E72" s="63">
        <f>'Lobby Lounge'!E49+'Fangfei Lounge'!E49+'Royal Court'!E49+'MP Cafe'!E49+'Pingju Zhuhai'!E49+'Room Service'!E49+Banquet!E50+Minibar!E37+STW!E25+'Main Kitchen'!E25+'F&amp;B Admin'!E25</f>
        <v>0</v>
      </c>
      <c r="F72" s="63">
        <f>'Lobby Lounge'!F49+'Fangfei Lounge'!F49+'Royal Court'!F49+'MP Cafe'!F49+'Pingju Zhuhai'!F49+'Room Service'!F49+Banquet!F50+Minibar!F37+STW!F25+'Main Kitchen'!F25+'F&amp;B Admin'!F25</f>
        <v>0</v>
      </c>
      <c r="G72" s="63">
        <f>'Lobby Lounge'!G49+'Fangfei Lounge'!G49+'Royal Court'!G49+'MP Cafe'!G49+'Pingju Zhuhai'!G49+'Room Service'!G49+Banquet!G50+Minibar!G37+STW!G25+'Main Kitchen'!G25+'F&amp;B Admin'!G25</f>
        <v>0</v>
      </c>
      <c r="H72" s="63">
        <f>'Lobby Lounge'!H49+'Fangfei Lounge'!H49+'Royal Court'!H49+'MP Cafe'!H49+'Pingju Zhuhai'!H49+'Room Service'!H49+Banquet!H50+Minibar!H37+STW!H25+'Main Kitchen'!H25+'F&amp;B Admin'!H25</f>
        <v>0</v>
      </c>
      <c r="I72" s="63">
        <f>'Lobby Lounge'!I49+'Fangfei Lounge'!I49+'Royal Court'!I49+'MP Cafe'!I49+'Pingju Zhuhai'!I49+'Room Service'!I49+Banquet!I50+Minibar!I37+STW!I25+'Main Kitchen'!I25+'F&amp;B Admin'!I25</f>
        <v>0</v>
      </c>
      <c r="J72" s="63">
        <f>'Lobby Lounge'!J49+'Fangfei Lounge'!J49+'Royal Court'!J49+'MP Cafe'!J49+'Pingju Zhuhai'!J49+'Room Service'!J49+Banquet!J50+Minibar!J37+STW!J25+'Main Kitchen'!J25+'F&amp;B Admin'!J25</f>
        <v>0</v>
      </c>
      <c r="K72" s="63">
        <f>'Lobby Lounge'!K49+'Fangfei Lounge'!K49+'Royal Court'!K49+'MP Cafe'!K49+'Pingju Zhuhai'!K49+'Room Service'!K49+Banquet!K50+Minibar!K37+STW!K25+'Main Kitchen'!K25+'F&amp;B Admin'!K25</f>
        <v>0</v>
      </c>
      <c r="L72" s="63">
        <f>'Lobby Lounge'!L49+'Fangfei Lounge'!L49+'Royal Court'!L49+'MP Cafe'!L49+'Pingju Zhuhai'!L49+'Room Service'!L49+Banquet!L50+Minibar!L37+STW!L25+'Main Kitchen'!L25+'F&amp;B Admin'!L25</f>
        <v>0</v>
      </c>
      <c r="M72" s="63">
        <f>'Lobby Lounge'!M49+'Fangfei Lounge'!M49+'Royal Court'!M49+'MP Cafe'!M49+'Pingju Zhuhai'!M49+'Room Service'!M49+Banquet!M50+Minibar!M37+STW!M25+'Main Kitchen'!M25+'F&amp;B Admin'!M25</f>
        <v>0</v>
      </c>
      <c r="N72" s="63">
        <f>'Lobby Lounge'!N49+'Fangfei Lounge'!N49+'Royal Court'!N49+'MP Cafe'!N49+'Pingju Zhuhai'!N49+'Room Service'!N49+Banquet!N50+Minibar!N37+STW!N25+'Main Kitchen'!N25+'F&amp;B Admin'!N25</f>
        <v>0</v>
      </c>
      <c r="O72" s="63">
        <f>'Lobby Lounge'!O49+'Fangfei Lounge'!O49+'Royal Court'!O49+'MP Cafe'!O49+'Pingju Zhuhai'!O49+'Room Service'!O49+Banquet!O50+Minibar!O37+STW!O25+'Main Kitchen'!O25+'F&amp;B Admin'!O25</f>
        <v>0</v>
      </c>
      <c r="P72" s="63">
        <f>'Lobby Lounge'!P49+'Fangfei Lounge'!P49+'Royal Court'!P49+'MP Cafe'!P49+'Pingju Zhuhai'!P49+'Room Service'!P49+Banquet!P50+Minibar!P37+STW!P25+'Main Kitchen'!P25+'F&amp;B Admin'!P25</f>
        <v>0</v>
      </c>
      <c r="Q72" s="134">
        <f t="shared" si="11"/>
        <v>0</v>
      </c>
      <c r="R72" s="134">
        <v>0</v>
      </c>
      <c r="S72" s="134">
        <f t="shared" si="12"/>
        <v>0</v>
      </c>
      <c r="U72" s="148"/>
      <c r="V72" s="40">
        <f t="shared" si="13"/>
        <v>0</v>
      </c>
    </row>
    <row r="73" spans="1:22" s="77" customFormat="1" ht="25.4" customHeight="1">
      <c r="A73" s="3" t="s">
        <v>164</v>
      </c>
      <c r="B73" s="3" t="s">
        <v>403</v>
      </c>
      <c r="C73" s="3"/>
      <c r="D73" s="26" t="s">
        <v>165</v>
      </c>
      <c r="E73" s="63">
        <f>'Lobby Lounge'!E50+'Fangfei Lounge'!E50+'Royal Court'!E50+'MP Cafe'!E50+'Pingju Zhuhai'!E50+'Room Service'!E50+Banquet!E51+Minibar!E38+STW!E26+'Main Kitchen'!E26+'F&amp;B Admin'!E26</f>
        <v>8720</v>
      </c>
      <c r="F73" s="63">
        <f>'Lobby Lounge'!F50+'Fangfei Lounge'!F50+'Royal Court'!F50+'MP Cafe'!F50+'Pingju Zhuhai'!F50+'Room Service'!F50+Banquet!F51+Minibar!F38+STW!F26+'Main Kitchen'!F26+'F&amp;B Admin'!F26</f>
        <v>8720</v>
      </c>
      <c r="G73" s="63">
        <f>'Lobby Lounge'!G50+'Fangfei Lounge'!G50+'Royal Court'!G50+'MP Cafe'!G50+'Pingju Zhuhai'!G50+'Room Service'!G50+Banquet!G51+Minibar!G38+STW!G26+'Main Kitchen'!G26+'F&amp;B Admin'!G26</f>
        <v>8720</v>
      </c>
      <c r="H73" s="63">
        <f>'Lobby Lounge'!H50+'Fangfei Lounge'!H50+'Royal Court'!H50+'MP Cafe'!H50+'Pingju Zhuhai'!H50+'Room Service'!H50+Banquet!H51+Minibar!H38+STW!H26+'Main Kitchen'!H26+'F&amp;B Admin'!H26</f>
        <v>8720</v>
      </c>
      <c r="I73" s="63">
        <f>'Lobby Lounge'!I50+'Fangfei Lounge'!I50+'Royal Court'!I50+'MP Cafe'!I50+'Pingju Zhuhai'!I50+'Room Service'!I50+Banquet!I51+Minibar!I38+STW!I26+'Main Kitchen'!I26+'F&amp;B Admin'!I26</f>
        <v>8720</v>
      </c>
      <c r="J73" s="63">
        <f>'Lobby Lounge'!J50+'Fangfei Lounge'!J50+'Royal Court'!J50+'MP Cafe'!J50+'Pingju Zhuhai'!J50+'Room Service'!J50+Banquet!J51+Minibar!J38+STW!J26+'Main Kitchen'!J26+'F&amp;B Admin'!J26</f>
        <v>8720</v>
      </c>
      <c r="K73" s="63">
        <f>'Lobby Lounge'!K50+'Fangfei Lounge'!K50+'Royal Court'!K50+'MP Cafe'!K50+'Pingju Zhuhai'!K50+'Room Service'!K50+Banquet!K51+Minibar!K38+STW!K26+'Main Kitchen'!K26+'F&amp;B Admin'!K26</f>
        <v>8720</v>
      </c>
      <c r="L73" s="63">
        <f>'Lobby Lounge'!L50+'Fangfei Lounge'!L50+'Royal Court'!L50+'MP Cafe'!L50+'Pingju Zhuhai'!L50+'Room Service'!L50+Banquet!L51+Minibar!L38+STW!L26+'Main Kitchen'!L26+'F&amp;B Admin'!L26</f>
        <v>8720</v>
      </c>
      <c r="M73" s="63">
        <f>'Lobby Lounge'!M50+'Fangfei Lounge'!M50+'Royal Court'!M50+'MP Cafe'!M50+'Pingju Zhuhai'!M50+'Room Service'!M50+Banquet!M51+Minibar!M38+STW!M26+'Main Kitchen'!M26+'F&amp;B Admin'!M26</f>
        <v>8720</v>
      </c>
      <c r="N73" s="63">
        <f>'Lobby Lounge'!N50+'Fangfei Lounge'!N50+'Royal Court'!N50+'MP Cafe'!N50+'Pingju Zhuhai'!N50+'Room Service'!N50+Banquet!N51+Minibar!N38+STW!N26+'Main Kitchen'!N26+'F&amp;B Admin'!N26</f>
        <v>8720</v>
      </c>
      <c r="O73" s="63">
        <f>'Lobby Lounge'!O50+'Fangfei Lounge'!O50+'Royal Court'!O50+'MP Cafe'!O50+'Pingju Zhuhai'!O50+'Room Service'!O50+Banquet!O51+Minibar!O38+STW!O26+'Main Kitchen'!O26+'F&amp;B Admin'!O26</f>
        <v>8720</v>
      </c>
      <c r="P73" s="63">
        <f>'Lobby Lounge'!P50+'Fangfei Lounge'!P50+'Royal Court'!P50+'MP Cafe'!P50+'Pingju Zhuhai'!P50+'Room Service'!P50+Banquet!P51+Minibar!P38+STW!P26+'Main Kitchen'!P26+'F&amp;B Admin'!P26</f>
        <v>8720</v>
      </c>
      <c r="Q73" s="134">
        <f t="shared" si="11"/>
        <v>104640</v>
      </c>
      <c r="R73" s="134">
        <v>88896.54</v>
      </c>
      <c r="S73" s="134">
        <f t="shared" si="12"/>
        <v>0.80750086815603661</v>
      </c>
      <c r="U73" s="148"/>
      <c r="V73" s="40" t="e">
        <f t="shared" si="13"/>
        <v>#DIV/0!</v>
      </c>
    </row>
    <row r="74" spans="1:22" s="77" customFormat="1" ht="25.4" customHeight="1">
      <c r="A74" s="3" t="s">
        <v>166</v>
      </c>
      <c r="B74" s="3" t="s">
        <v>403</v>
      </c>
      <c r="C74" s="3"/>
      <c r="D74" s="26" t="s">
        <v>167</v>
      </c>
      <c r="E74" s="63">
        <f>'Lobby Lounge'!E51+'Fangfei Lounge'!E51+'Royal Court'!E51+'MP Cafe'!E51+'Pingju Zhuhai'!E51+'Room Service'!E51+Banquet!E52+Minibar!E39+STW!E27+'Main Kitchen'!E27+'F&amp;B Admin'!E27</f>
        <v>0</v>
      </c>
      <c r="F74" s="63">
        <f>'Lobby Lounge'!F51+'Fangfei Lounge'!F51+'Royal Court'!F51+'MP Cafe'!F51+'Pingju Zhuhai'!F51+'Room Service'!F51+Banquet!F52+Minibar!F39+STW!F27+'Main Kitchen'!F27+'F&amp;B Admin'!F27</f>
        <v>0</v>
      </c>
      <c r="G74" s="63">
        <f>'Lobby Lounge'!G51+'Fangfei Lounge'!G51+'Royal Court'!G51+'MP Cafe'!G51+'Pingju Zhuhai'!G51+'Room Service'!G51+Banquet!G52+Minibar!G39+STW!G27+'Main Kitchen'!G27+'F&amp;B Admin'!G27</f>
        <v>0</v>
      </c>
      <c r="H74" s="63">
        <f>'Lobby Lounge'!H51+'Fangfei Lounge'!H51+'Royal Court'!H51+'MP Cafe'!H51+'Pingju Zhuhai'!H51+'Room Service'!H51+Banquet!H52+Minibar!H39+STW!H27+'Main Kitchen'!H27+'F&amp;B Admin'!H27</f>
        <v>0</v>
      </c>
      <c r="I74" s="63">
        <f>'Lobby Lounge'!I51+'Fangfei Lounge'!I51+'Royal Court'!I51+'MP Cafe'!I51+'Pingju Zhuhai'!I51+'Room Service'!I51+Banquet!I52+Minibar!I39+STW!I27+'Main Kitchen'!I27+'F&amp;B Admin'!I27</f>
        <v>0</v>
      </c>
      <c r="J74" s="63">
        <f>'Lobby Lounge'!J51+'Fangfei Lounge'!J51+'Royal Court'!J51+'MP Cafe'!J51+'Pingju Zhuhai'!J51+'Room Service'!J51+Banquet!J52+Minibar!J39+STW!J27+'Main Kitchen'!J27+'F&amp;B Admin'!J27</f>
        <v>0</v>
      </c>
      <c r="K74" s="63">
        <f>'Lobby Lounge'!K51+'Fangfei Lounge'!K51+'Royal Court'!K51+'MP Cafe'!K51+'Pingju Zhuhai'!K51+'Room Service'!K51+Banquet!K52+Minibar!K39+STW!K27+'Main Kitchen'!K27+'F&amp;B Admin'!K27</f>
        <v>0</v>
      </c>
      <c r="L74" s="63">
        <f>'Lobby Lounge'!L51+'Fangfei Lounge'!L51+'Royal Court'!L51+'MP Cafe'!L51+'Pingju Zhuhai'!L51+'Room Service'!L51+Banquet!L52+Minibar!L39+STW!L27+'Main Kitchen'!L27+'F&amp;B Admin'!L27</f>
        <v>0</v>
      </c>
      <c r="M74" s="63">
        <f>'Lobby Lounge'!M51+'Fangfei Lounge'!M51+'Royal Court'!M51+'MP Cafe'!M51+'Pingju Zhuhai'!M51+'Room Service'!M51+Banquet!M52+Minibar!M39+STW!M27+'Main Kitchen'!M27+'F&amp;B Admin'!M27</f>
        <v>0</v>
      </c>
      <c r="N74" s="63">
        <f>'Lobby Lounge'!N51+'Fangfei Lounge'!N51+'Royal Court'!N51+'MP Cafe'!N51+'Pingju Zhuhai'!N51+'Room Service'!N51+Banquet!N52+Minibar!N39+STW!N27+'Main Kitchen'!N27+'F&amp;B Admin'!N27</f>
        <v>0</v>
      </c>
      <c r="O74" s="63">
        <f>'Lobby Lounge'!O51+'Fangfei Lounge'!O51+'Royal Court'!O51+'MP Cafe'!O51+'Pingju Zhuhai'!O51+'Room Service'!O51+Banquet!O52+Minibar!O39+STW!O27+'Main Kitchen'!O27+'F&amp;B Admin'!O27</f>
        <v>0</v>
      </c>
      <c r="P74" s="63">
        <f>'Lobby Lounge'!P51+'Fangfei Lounge'!P51+'Royal Court'!P51+'MP Cafe'!P51+'Pingju Zhuhai'!P51+'Room Service'!P51+Banquet!P52+Minibar!P39+STW!P27+'Main Kitchen'!P27+'F&amp;B Admin'!P27</f>
        <v>0</v>
      </c>
      <c r="Q74" s="134">
        <f t="shared" si="11"/>
        <v>0</v>
      </c>
      <c r="R74" s="134">
        <v>0</v>
      </c>
      <c r="S74" s="134">
        <f t="shared" si="12"/>
        <v>0</v>
      </c>
      <c r="U74" s="148"/>
      <c r="V74" s="40">
        <f t="shared" si="13"/>
        <v>0</v>
      </c>
    </row>
    <row r="75" spans="1:22" s="77" customFormat="1" ht="25.4" customHeight="1">
      <c r="A75" s="3" t="s">
        <v>168</v>
      </c>
      <c r="B75" s="3" t="s">
        <v>403</v>
      </c>
      <c r="C75" s="3"/>
      <c r="D75" s="26" t="s">
        <v>169</v>
      </c>
      <c r="E75" s="63">
        <f>'Lobby Lounge'!E52+'Fangfei Lounge'!E52+'Royal Court'!E52+'MP Cafe'!E52+'Pingju Zhuhai'!E52+'Room Service'!E52+Banquet!E53+Minibar!E40+STW!E28+'Main Kitchen'!E28+'F&amp;B Admin'!E28</f>
        <v>0</v>
      </c>
      <c r="F75" s="63">
        <f>'Lobby Lounge'!F52+'Fangfei Lounge'!F52+'Royal Court'!F52+'MP Cafe'!F52+'Pingju Zhuhai'!F52+'Room Service'!F52+Banquet!F53+Minibar!F40+STW!F28+'Main Kitchen'!F28+'F&amp;B Admin'!F28</f>
        <v>0</v>
      </c>
      <c r="G75" s="63">
        <f>'Lobby Lounge'!G52+'Fangfei Lounge'!G52+'Royal Court'!G52+'MP Cafe'!G52+'Pingju Zhuhai'!G52+'Room Service'!G52+Banquet!G53+Minibar!G40+STW!G28+'Main Kitchen'!G28+'F&amp;B Admin'!G28</f>
        <v>0</v>
      </c>
      <c r="H75" s="63">
        <f>'Lobby Lounge'!H52+'Fangfei Lounge'!H52+'Royal Court'!H52+'MP Cafe'!H52+'Pingju Zhuhai'!H52+'Room Service'!H52+Banquet!H53+Minibar!H40+STW!H28+'Main Kitchen'!H28+'F&amp;B Admin'!H28</f>
        <v>0</v>
      </c>
      <c r="I75" s="63">
        <f>'Lobby Lounge'!I52+'Fangfei Lounge'!I52+'Royal Court'!I52+'MP Cafe'!I52+'Pingju Zhuhai'!I52+'Room Service'!I52+Banquet!I53+Minibar!I40+STW!I28+'Main Kitchen'!I28+'F&amp;B Admin'!I28</f>
        <v>0</v>
      </c>
      <c r="J75" s="63">
        <f>'Lobby Lounge'!J52+'Fangfei Lounge'!J52+'Royal Court'!J52+'MP Cafe'!J52+'Pingju Zhuhai'!J52+'Room Service'!J52+Banquet!J53+Minibar!J40+STW!J28+'Main Kitchen'!J28+'F&amp;B Admin'!J28</f>
        <v>0</v>
      </c>
      <c r="K75" s="63">
        <f>'Lobby Lounge'!K52+'Fangfei Lounge'!K52+'Royal Court'!K52+'MP Cafe'!K52+'Pingju Zhuhai'!K52+'Room Service'!K52+Banquet!K53+Minibar!K40+STW!K28+'Main Kitchen'!K28+'F&amp;B Admin'!K28</f>
        <v>0</v>
      </c>
      <c r="L75" s="63">
        <f>'Lobby Lounge'!L52+'Fangfei Lounge'!L52+'Royal Court'!L52+'MP Cafe'!L52+'Pingju Zhuhai'!L52+'Room Service'!L52+Banquet!L53+Minibar!L40+STW!L28+'Main Kitchen'!L28+'F&amp;B Admin'!L28</f>
        <v>0</v>
      </c>
      <c r="M75" s="63">
        <f>'Lobby Lounge'!M52+'Fangfei Lounge'!M52+'Royal Court'!M52+'MP Cafe'!M52+'Pingju Zhuhai'!M52+'Room Service'!M52+Banquet!M53+Minibar!M40+STW!M28+'Main Kitchen'!M28+'F&amp;B Admin'!M28</f>
        <v>0</v>
      </c>
      <c r="N75" s="63">
        <f>'Lobby Lounge'!N52+'Fangfei Lounge'!N52+'Royal Court'!N52+'MP Cafe'!N52+'Pingju Zhuhai'!N52+'Room Service'!N52+Banquet!N53+Minibar!N40+STW!N28+'Main Kitchen'!N28+'F&amp;B Admin'!N28</f>
        <v>0</v>
      </c>
      <c r="O75" s="63">
        <f>'Lobby Lounge'!O52+'Fangfei Lounge'!O52+'Royal Court'!O52+'MP Cafe'!O52+'Pingju Zhuhai'!O52+'Room Service'!O52+Banquet!O53+Minibar!O40+STW!O28+'Main Kitchen'!O28+'F&amp;B Admin'!O28</f>
        <v>0</v>
      </c>
      <c r="P75" s="63">
        <f>'Lobby Lounge'!P52+'Fangfei Lounge'!P52+'Royal Court'!P52+'MP Cafe'!P52+'Pingju Zhuhai'!P52+'Room Service'!P52+Banquet!P53+Minibar!P40+STW!P28+'Main Kitchen'!P28+'F&amp;B Admin'!P28</f>
        <v>0</v>
      </c>
      <c r="Q75" s="134">
        <f t="shared" si="11"/>
        <v>0</v>
      </c>
      <c r="R75" s="134">
        <v>0</v>
      </c>
      <c r="S75" s="134">
        <f t="shared" si="12"/>
        <v>0</v>
      </c>
      <c r="U75" s="148"/>
      <c r="V75" s="40">
        <f t="shared" si="13"/>
        <v>0</v>
      </c>
    </row>
    <row r="76" spans="1:22" s="77" customFormat="1" ht="25.4" customHeight="1">
      <c r="A76" s="3" t="s">
        <v>170</v>
      </c>
      <c r="B76" s="3" t="s">
        <v>403</v>
      </c>
      <c r="C76" s="3"/>
      <c r="D76" s="26" t="s">
        <v>171</v>
      </c>
      <c r="E76" s="63">
        <f>'Lobby Lounge'!E53+'Fangfei Lounge'!E53+'Royal Court'!E53+'MP Cafe'!E53+'Pingju Zhuhai'!E53+'Room Service'!E53+Banquet!E54+Minibar!E41+STW!E29+'Main Kitchen'!E29+'F&amp;B Admin'!E29</f>
        <v>200</v>
      </c>
      <c r="F76" s="63">
        <f>'Lobby Lounge'!F53+'Fangfei Lounge'!F53+'Royal Court'!F53+'MP Cafe'!F53+'Pingju Zhuhai'!F53+'Room Service'!F53+Banquet!F54+Minibar!F41+STW!F29+'Main Kitchen'!F29+'F&amp;B Admin'!F29</f>
        <v>200</v>
      </c>
      <c r="G76" s="63">
        <f>'Lobby Lounge'!G53+'Fangfei Lounge'!G53+'Royal Court'!G53+'MP Cafe'!G53+'Pingju Zhuhai'!G53+'Room Service'!G53+Banquet!G54+Minibar!G41+STW!G29+'Main Kitchen'!G29+'F&amp;B Admin'!G29</f>
        <v>200</v>
      </c>
      <c r="H76" s="63">
        <f>'Lobby Lounge'!H53+'Fangfei Lounge'!H53+'Royal Court'!H53+'MP Cafe'!H53+'Pingju Zhuhai'!H53+'Room Service'!H53+Banquet!H54+Minibar!H41+STW!H29+'Main Kitchen'!H29+'F&amp;B Admin'!H29</f>
        <v>200</v>
      </c>
      <c r="I76" s="63">
        <f>'Lobby Lounge'!I53+'Fangfei Lounge'!I53+'Royal Court'!I53+'MP Cafe'!I53+'Pingju Zhuhai'!I53+'Room Service'!I53+Banquet!I54+Minibar!I41+STW!I29+'Main Kitchen'!I29+'F&amp;B Admin'!I29</f>
        <v>200</v>
      </c>
      <c r="J76" s="63">
        <f>'Lobby Lounge'!J53+'Fangfei Lounge'!J53+'Royal Court'!J53+'MP Cafe'!J53+'Pingju Zhuhai'!J53+'Room Service'!J53+Banquet!J54+Minibar!J41+STW!J29+'Main Kitchen'!J29+'F&amp;B Admin'!J29</f>
        <v>200</v>
      </c>
      <c r="K76" s="63">
        <f>'Lobby Lounge'!K53+'Fangfei Lounge'!K53+'Royal Court'!K53+'MP Cafe'!K53+'Pingju Zhuhai'!K53+'Room Service'!K53+Banquet!K54+Minibar!K41+STW!K29+'Main Kitchen'!K29+'F&amp;B Admin'!K29</f>
        <v>200</v>
      </c>
      <c r="L76" s="63">
        <f>'Lobby Lounge'!L53+'Fangfei Lounge'!L53+'Royal Court'!L53+'MP Cafe'!L53+'Pingju Zhuhai'!L53+'Room Service'!L53+Banquet!L54+Minibar!L41+STW!L29+'Main Kitchen'!L29+'F&amp;B Admin'!L29</f>
        <v>200</v>
      </c>
      <c r="M76" s="63">
        <f>'Lobby Lounge'!M53+'Fangfei Lounge'!M53+'Royal Court'!M53+'MP Cafe'!M53+'Pingju Zhuhai'!M53+'Room Service'!M53+Banquet!M54+Minibar!M41+STW!M29+'Main Kitchen'!M29+'F&amp;B Admin'!M29</f>
        <v>200</v>
      </c>
      <c r="N76" s="63">
        <f>'Lobby Lounge'!N53+'Fangfei Lounge'!N53+'Royal Court'!N53+'MP Cafe'!N53+'Pingju Zhuhai'!N53+'Room Service'!N53+Banquet!N54+Minibar!N41+STW!N29+'Main Kitchen'!N29+'F&amp;B Admin'!N29</f>
        <v>200</v>
      </c>
      <c r="O76" s="63">
        <f>'Lobby Lounge'!O53+'Fangfei Lounge'!O53+'Royal Court'!O53+'MP Cafe'!O53+'Pingju Zhuhai'!O53+'Room Service'!O53+Banquet!O54+Minibar!O41+STW!O29+'Main Kitchen'!O29+'F&amp;B Admin'!O29</f>
        <v>200</v>
      </c>
      <c r="P76" s="63">
        <f>'Lobby Lounge'!P53+'Fangfei Lounge'!P53+'Royal Court'!P53+'MP Cafe'!P53+'Pingju Zhuhai'!P53+'Room Service'!P53+Banquet!P54+Minibar!P41+STW!P29+'Main Kitchen'!P29+'F&amp;B Admin'!P29</f>
        <v>200</v>
      </c>
      <c r="Q76" s="134">
        <f t="shared" si="11"/>
        <v>2400</v>
      </c>
      <c r="R76" s="134">
        <v>0</v>
      </c>
      <c r="S76" s="134">
        <f t="shared" si="12"/>
        <v>1.8520662113670563E-2</v>
      </c>
      <c r="U76" s="148"/>
      <c r="V76" s="40" t="e">
        <f t="shared" si="13"/>
        <v>#DIV/0!</v>
      </c>
    </row>
    <row r="77" spans="1:22" s="77" customFormat="1" ht="25.4" customHeight="1">
      <c r="A77" s="3" t="s">
        <v>172</v>
      </c>
      <c r="B77" s="3" t="s">
        <v>403</v>
      </c>
      <c r="C77" s="3"/>
      <c r="D77" s="26" t="s">
        <v>173</v>
      </c>
      <c r="E77" s="63">
        <f>'Lobby Lounge'!E54+'Fangfei Lounge'!E54+'Royal Court'!E54+'MP Cafe'!E54+'Pingju Zhuhai'!E54+'Room Service'!E54+Banquet!E55+Minibar!E42+STW!E30+'Main Kitchen'!E30+'F&amp;B Admin'!E30</f>
        <v>5197.8</v>
      </c>
      <c r="F77" s="63">
        <f>'Lobby Lounge'!F54+'Fangfei Lounge'!F54+'Royal Court'!F54+'MP Cafe'!F54+'Pingju Zhuhai'!F54+'Room Service'!F54+Banquet!F55+Minibar!F42+STW!F30+'Main Kitchen'!F30+'F&amp;B Admin'!F30</f>
        <v>3813.4</v>
      </c>
      <c r="G77" s="63">
        <f>'Lobby Lounge'!G54+'Fangfei Lounge'!G54+'Royal Court'!G54+'MP Cafe'!G54+'Pingju Zhuhai'!G54+'Room Service'!G54+Banquet!G55+Minibar!G42+STW!G30+'Main Kitchen'!G30+'F&amp;B Admin'!G30</f>
        <v>5082</v>
      </c>
      <c r="H77" s="63">
        <f>'Lobby Lounge'!H54+'Fangfei Lounge'!H54+'Royal Court'!H54+'MP Cafe'!H54+'Pingju Zhuhai'!H54+'Room Service'!H54+Banquet!H55+Minibar!H42+STW!H30+'Main Kitchen'!H30+'F&amp;B Admin'!H30</f>
        <v>5162.3999999999996</v>
      </c>
      <c r="I77" s="63">
        <f>'Lobby Lounge'!I54+'Fangfei Lounge'!I54+'Royal Court'!I54+'MP Cafe'!I54+'Pingju Zhuhai'!I54+'Room Service'!I54+Banquet!I55+Minibar!I42+STW!I30+'Main Kitchen'!I30+'F&amp;B Admin'!I30</f>
        <v>5363.4</v>
      </c>
      <c r="J77" s="63">
        <f>'Lobby Lounge'!J54+'Fangfei Lounge'!J54+'Royal Court'!J54+'MP Cafe'!J54+'Pingju Zhuhai'!J54+'Room Service'!J54+Banquet!J55+Minibar!J42+STW!J30+'Main Kitchen'!J30+'F&amp;B Admin'!J30</f>
        <v>5128.2</v>
      </c>
      <c r="K77" s="63">
        <f>'Lobby Lounge'!K54+'Fangfei Lounge'!K54+'Royal Court'!K54+'MP Cafe'!K54+'Pingju Zhuhai'!K54+'Room Service'!K54+Banquet!K55+Minibar!K42+STW!K30+'Main Kitchen'!K30+'F&amp;B Admin'!K30</f>
        <v>6971.4</v>
      </c>
      <c r="L77" s="63">
        <f>'Lobby Lounge'!L54+'Fangfei Lounge'!L54+'Royal Court'!L54+'MP Cafe'!L54+'Pingju Zhuhai'!L54+'Room Service'!L54+Banquet!L55+Minibar!L42+STW!L30+'Main Kitchen'!L30+'F&amp;B Admin'!L30</f>
        <v>7121.4</v>
      </c>
      <c r="M77" s="63">
        <f>'Lobby Lounge'!M54+'Fangfei Lounge'!M54+'Royal Court'!M54+'MP Cafe'!M54+'Pingju Zhuhai'!M54+'Room Service'!M54+Banquet!M55+Minibar!M42+STW!M30+'Main Kitchen'!M30+'F&amp;B Admin'!M30</f>
        <v>4838.3999999999996</v>
      </c>
      <c r="N77" s="63">
        <f>'Lobby Lounge'!N54+'Fangfei Lounge'!N54+'Royal Court'!N54+'MP Cafe'!N54+'Pingju Zhuhai'!N54+'Room Service'!N54+Banquet!N55+Minibar!N42+STW!N30+'Main Kitchen'!N30+'F&amp;B Admin'!N30</f>
        <v>6063</v>
      </c>
      <c r="O77" s="63">
        <f>'Lobby Lounge'!O54+'Fangfei Lounge'!O54+'Royal Court'!O54+'MP Cafe'!O54+'Pingju Zhuhai'!O54+'Room Service'!O54+Banquet!O55+Minibar!O42+STW!O30+'Main Kitchen'!O30+'F&amp;B Admin'!O30</f>
        <v>5878.8</v>
      </c>
      <c r="P77" s="63">
        <f>'Lobby Lounge'!P54+'Fangfei Lounge'!P54+'Royal Court'!P54+'MP Cafe'!P54+'Pingju Zhuhai'!P54+'Room Service'!P54+Banquet!P55+Minibar!P42+STW!P30+'Main Kitchen'!P30+'F&amp;B Admin'!P30</f>
        <v>6261</v>
      </c>
      <c r="Q77" s="134">
        <f t="shared" si="11"/>
        <v>66881.200000000012</v>
      </c>
      <c r="R77" s="134">
        <v>116388.44</v>
      </c>
      <c r="S77" s="134">
        <f t="shared" si="12"/>
        <v>0.51611837789867665</v>
      </c>
      <c r="U77" s="148"/>
      <c r="V77" s="40" t="e">
        <f t="shared" si="13"/>
        <v>#DIV/0!</v>
      </c>
    </row>
    <row r="78" spans="1:22" s="77" customFormat="1" ht="25.4" hidden="1" customHeight="1">
      <c r="A78" s="3" t="s">
        <v>174</v>
      </c>
      <c r="B78" s="3" t="s">
        <v>403</v>
      </c>
      <c r="C78" s="3"/>
      <c r="D78" s="26" t="s">
        <v>175</v>
      </c>
      <c r="E78" s="63">
        <f>'Lobby Lounge'!E55+'Fangfei Lounge'!E55+'Royal Court'!E55+'MP Cafe'!E55+'Pingju Zhuhai'!E55+'Room Service'!E55+Banquet!E56+Minibar!E43+STW!E31+'Main Kitchen'!E31+'F&amp;B Admin'!E31</f>
        <v>0</v>
      </c>
      <c r="F78" s="63">
        <f>'Lobby Lounge'!F55+'Fangfei Lounge'!F55+'Royal Court'!F55+'MP Cafe'!F55+'Pingju Zhuhai'!F55+'Room Service'!F55+Banquet!F56+Minibar!F43+STW!F31+'Main Kitchen'!F31+'F&amp;B Admin'!F31</f>
        <v>0</v>
      </c>
      <c r="G78" s="63">
        <f>'Lobby Lounge'!G55+'Fangfei Lounge'!G55+'Royal Court'!G55+'MP Cafe'!G55+'Pingju Zhuhai'!G55+'Room Service'!G55+Banquet!G56+Minibar!G43+STW!G31+'Main Kitchen'!G31+'F&amp;B Admin'!G31</f>
        <v>0</v>
      </c>
      <c r="H78" s="63">
        <f>'Lobby Lounge'!H55+'Fangfei Lounge'!H55+'Royal Court'!H55+'MP Cafe'!H55+'Pingju Zhuhai'!H55+'Room Service'!H55+Banquet!H56+Minibar!H43+STW!H31+'Main Kitchen'!H31+'F&amp;B Admin'!H31</f>
        <v>0</v>
      </c>
      <c r="I78" s="63">
        <f>'Lobby Lounge'!I55+'Fangfei Lounge'!I55+'Royal Court'!I55+'MP Cafe'!I55+'Pingju Zhuhai'!I55+'Room Service'!I55+Banquet!I56+Minibar!I43+STW!I31+'Main Kitchen'!I31+'F&amp;B Admin'!I31</f>
        <v>0</v>
      </c>
      <c r="J78" s="63">
        <f>'Lobby Lounge'!J55+'Fangfei Lounge'!J55+'Royal Court'!J55+'MP Cafe'!J55+'Pingju Zhuhai'!J55+'Room Service'!J55+Banquet!J56+Minibar!J43+STW!J31+'Main Kitchen'!J31+'F&amp;B Admin'!J31</f>
        <v>0</v>
      </c>
      <c r="K78" s="63">
        <f>'Lobby Lounge'!K55+'Fangfei Lounge'!K55+'Royal Court'!K55+'MP Cafe'!K55+'Pingju Zhuhai'!K55+'Room Service'!K55+Banquet!K56+Minibar!K43+STW!K31+'Main Kitchen'!K31+'F&amp;B Admin'!K31</f>
        <v>0</v>
      </c>
      <c r="L78" s="63">
        <f>'Lobby Lounge'!L55+'Fangfei Lounge'!L55+'Royal Court'!L55+'MP Cafe'!L55+'Pingju Zhuhai'!L55+'Room Service'!L55+Banquet!L56+Minibar!L43+STW!L31+'Main Kitchen'!L31+'F&amp;B Admin'!L31</f>
        <v>0</v>
      </c>
      <c r="M78" s="63">
        <f>'Lobby Lounge'!M55+'Fangfei Lounge'!M55+'Royal Court'!M55+'MP Cafe'!M55+'Pingju Zhuhai'!M55+'Room Service'!M55+Banquet!M56+Minibar!M43+STW!M31+'Main Kitchen'!M31+'F&amp;B Admin'!M31</f>
        <v>0</v>
      </c>
      <c r="N78" s="63">
        <f>'Lobby Lounge'!N55+'Fangfei Lounge'!N55+'Royal Court'!N55+'MP Cafe'!N55+'Pingju Zhuhai'!N55+'Room Service'!N55+Banquet!N56+Minibar!N43+STW!N31+'Main Kitchen'!N31+'F&amp;B Admin'!N31</f>
        <v>0</v>
      </c>
      <c r="O78" s="63">
        <f>'Lobby Lounge'!O55+'Fangfei Lounge'!O55+'Royal Court'!O55+'MP Cafe'!O55+'Pingju Zhuhai'!O55+'Room Service'!O55+Banquet!O56+Minibar!O43+STW!O31+'Main Kitchen'!O31+'F&amp;B Admin'!O31</f>
        <v>0</v>
      </c>
      <c r="P78" s="63">
        <f>'Lobby Lounge'!P55+'Fangfei Lounge'!P55+'Royal Court'!P55+'MP Cafe'!P55+'Pingju Zhuhai'!P55+'Room Service'!P55+Banquet!P56+Minibar!P43+STW!P31+'Main Kitchen'!P31+'F&amp;B Admin'!P31</f>
        <v>0</v>
      </c>
      <c r="Q78" s="134">
        <f t="shared" si="11"/>
        <v>0</v>
      </c>
      <c r="R78" s="134">
        <v>0</v>
      </c>
      <c r="S78" s="134">
        <f t="shared" si="12"/>
        <v>0</v>
      </c>
      <c r="U78" s="148"/>
      <c r="V78" s="40">
        <f t="shared" si="13"/>
        <v>0</v>
      </c>
    </row>
    <row r="79" spans="1:22" s="77" customFormat="1" ht="25.4" hidden="1" customHeight="1">
      <c r="A79" s="3" t="s">
        <v>176</v>
      </c>
      <c r="B79" s="3" t="s">
        <v>403</v>
      </c>
      <c r="C79" s="3"/>
      <c r="D79" s="26" t="s">
        <v>177</v>
      </c>
      <c r="E79" s="63">
        <f>'Lobby Lounge'!E56+'Fangfei Lounge'!E56+'Royal Court'!E56+'MP Cafe'!E56+'Pingju Zhuhai'!E56+'Room Service'!E56+Banquet!E57+Minibar!E44+STW!E32+'Main Kitchen'!E32+'F&amp;B Admin'!E32</f>
        <v>3332.5</v>
      </c>
      <c r="F79" s="63">
        <f>'Lobby Lounge'!F56+'Fangfei Lounge'!F56+'Royal Court'!F56+'MP Cafe'!F56+'Pingju Zhuhai'!F56+'Room Service'!F56+Banquet!F57+Minibar!F44+STW!F32+'Main Kitchen'!F32+'F&amp;B Admin'!F32</f>
        <v>3190</v>
      </c>
      <c r="G79" s="63">
        <f>'Lobby Lounge'!G56+'Fangfei Lounge'!G56+'Royal Court'!G56+'MP Cafe'!G56+'Pingju Zhuhai'!G56+'Room Service'!G56+Banquet!G57+Minibar!G44+STW!G32+'Main Kitchen'!G32+'F&amp;B Admin'!G32</f>
        <v>3332.5</v>
      </c>
      <c r="H79" s="63">
        <f>'Lobby Lounge'!H56+'Fangfei Lounge'!H56+'Royal Court'!H56+'MP Cafe'!H56+'Pingju Zhuhai'!H56+'Room Service'!H56+Banquet!H57+Minibar!H44+STW!H32+'Main Kitchen'!H32+'F&amp;B Admin'!H32</f>
        <v>3285</v>
      </c>
      <c r="I79" s="63">
        <f>'Lobby Lounge'!I56+'Fangfei Lounge'!I56+'Royal Court'!I56+'MP Cafe'!I56+'Pingju Zhuhai'!I56+'Room Service'!I56+Banquet!I57+Minibar!I44+STW!I32+'Main Kitchen'!I32+'F&amp;B Admin'!I32</f>
        <v>3332.5</v>
      </c>
      <c r="J79" s="63">
        <f>'Lobby Lounge'!J56+'Fangfei Lounge'!J56+'Royal Court'!J56+'MP Cafe'!J56+'Pingju Zhuhai'!J56+'Room Service'!J56+Banquet!J57+Minibar!J44+STW!J32+'Main Kitchen'!J32+'F&amp;B Admin'!J32</f>
        <v>3285</v>
      </c>
      <c r="K79" s="63">
        <f>'Lobby Lounge'!K56+'Fangfei Lounge'!K56+'Royal Court'!K56+'MP Cafe'!K56+'Pingju Zhuhai'!K56+'Room Service'!K56+Banquet!K57+Minibar!K44+STW!K32+'Main Kitchen'!K32+'F&amp;B Admin'!K32</f>
        <v>3332.5</v>
      </c>
      <c r="L79" s="63">
        <f>'Lobby Lounge'!L56+'Fangfei Lounge'!L56+'Royal Court'!L56+'MP Cafe'!L56+'Pingju Zhuhai'!L56+'Room Service'!L56+Banquet!L57+Minibar!L44+STW!L32+'Main Kitchen'!L32+'F&amp;B Admin'!L32</f>
        <v>3332.5</v>
      </c>
      <c r="M79" s="63">
        <f>'Lobby Lounge'!M56+'Fangfei Lounge'!M56+'Royal Court'!M56+'MP Cafe'!M56+'Pingju Zhuhai'!M56+'Room Service'!M56+Banquet!M57+Minibar!M44+STW!M32+'Main Kitchen'!M32+'F&amp;B Admin'!M32</f>
        <v>3285</v>
      </c>
      <c r="N79" s="63">
        <f>'Lobby Lounge'!N56+'Fangfei Lounge'!N56+'Royal Court'!N56+'MP Cafe'!N56+'Pingju Zhuhai'!N56+'Room Service'!N56+Banquet!N57+Minibar!N44+STW!N32+'Main Kitchen'!N32+'F&amp;B Admin'!N32</f>
        <v>3332.5</v>
      </c>
      <c r="O79" s="63">
        <f>'Lobby Lounge'!O56+'Fangfei Lounge'!O56+'Royal Court'!O56+'MP Cafe'!O56+'Pingju Zhuhai'!O56+'Room Service'!O56+Banquet!O57+Minibar!O44+STW!O32+'Main Kitchen'!O32+'F&amp;B Admin'!O32</f>
        <v>3285</v>
      </c>
      <c r="P79" s="63">
        <f>'Lobby Lounge'!P56+'Fangfei Lounge'!P56+'Royal Court'!P56+'MP Cafe'!P56+'Pingju Zhuhai'!P56+'Room Service'!P56+Banquet!P57+Minibar!P44+STW!P32+'Main Kitchen'!P32+'F&amp;B Admin'!P32</f>
        <v>3332.5</v>
      </c>
      <c r="Q79" s="134">
        <f t="shared" si="11"/>
        <v>39657.5</v>
      </c>
      <c r="R79" s="134">
        <v>0</v>
      </c>
      <c r="S79" s="134">
        <f t="shared" si="12"/>
        <v>0.30603464907203765</v>
      </c>
      <c r="U79" s="148"/>
      <c r="V79" s="40" t="e">
        <f t="shared" si="13"/>
        <v>#DIV/0!</v>
      </c>
    </row>
    <row r="80" spans="1:22" s="77" customFormat="1" ht="25.4" hidden="1" customHeight="1">
      <c r="A80" s="3" t="s">
        <v>178</v>
      </c>
      <c r="B80" s="3" t="s">
        <v>403</v>
      </c>
      <c r="C80" s="3"/>
      <c r="D80" s="26" t="s">
        <v>179</v>
      </c>
      <c r="E80" s="63">
        <f>'Lobby Lounge'!E57+'Fangfei Lounge'!E57+'Royal Court'!E57+'MP Cafe'!E57+'Pingju Zhuhai'!E57+'Room Service'!E57+Banquet!E58+Minibar!E45+STW!E33+'Main Kitchen'!E33+'F&amp;B Admin'!E33</f>
        <v>0</v>
      </c>
      <c r="F80" s="63">
        <f>'Lobby Lounge'!F57+'Fangfei Lounge'!F57+'Royal Court'!F57+'MP Cafe'!F57+'Pingju Zhuhai'!F57+'Room Service'!F57+Banquet!F58+Minibar!F45+STW!F33+'Main Kitchen'!F33+'F&amp;B Admin'!F33</f>
        <v>0</v>
      </c>
      <c r="G80" s="63">
        <f>'Lobby Lounge'!G57+'Fangfei Lounge'!G57+'Royal Court'!G57+'MP Cafe'!G57+'Pingju Zhuhai'!G57+'Room Service'!G57+Banquet!G58+Minibar!G45+STW!G33+'Main Kitchen'!G33+'F&amp;B Admin'!G33</f>
        <v>0</v>
      </c>
      <c r="H80" s="63">
        <f>'Lobby Lounge'!H57+'Fangfei Lounge'!H57+'Royal Court'!H57+'MP Cafe'!H57+'Pingju Zhuhai'!H57+'Room Service'!H57+Banquet!H58+Minibar!H45+STW!H33+'Main Kitchen'!H33+'F&amp;B Admin'!H33</f>
        <v>0</v>
      </c>
      <c r="I80" s="63">
        <f>'Lobby Lounge'!I57+'Fangfei Lounge'!I57+'Royal Court'!I57+'MP Cafe'!I57+'Pingju Zhuhai'!I57+'Room Service'!I57+Banquet!I58+Minibar!I45+STW!I33+'Main Kitchen'!I33+'F&amp;B Admin'!I33</f>
        <v>0</v>
      </c>
      <c r="J80" s="63">
        <f>'Lobby Lounge'!J57+'Fangfei Lounge'!J57+'Royal Court'!J57+'MP Cafe'!J57+'Pingju Zhuhai'!J57+'Room Service'!J57+Banquet!J58+Minibar!J45+STW!J33+'Main Kitchen'!J33+'F&amp;B Admin'!J33</f>
        <v>0</v>
      </c>
      <c r="K80" s="63">
        <f>'Lobby Lounge'!K57+'Fangfei Lounge'!K57+'Royal Court'!K57+'MP Cafe'!K57+'Pingju Zhuhai'!K57+'Room Service'!K57+Banquet!K58+Minibar!K45+STW!K33+'Main Kitchen'!K33+'F&amp;B Admin'!K33</f>
        <v>0</v>
      </c>
      <c r="L80" s="63">
        <f>'Lobby Lounge'!L57+'Fangfei Lounge'!L57+'Royal Court'!L57+'MP Cafe'!L57+'Pingju Zhuhai'!L57+'Room Service'!L57+Banquet!L58+Minibar!L45+STW!L33+'Main Kitchen'!L33+'F&amp;B Admin'!L33</f>
        <v>0</v>
      </c>
      <c r="M80" s="63">
        <f>'Lobby Lounge'!M57+'Fangfei Lounge'!M57+'Royal Court'!M57+'MP Cafe'!M57+'Pingju Zhuhai'!M57+'Room Service'!M57+Banquet!M58+Minibar!M45+STW!M33+'Main Kitchen'!M33+'F&amp;B Admin'!M33</f>
        <v>0</v>
      </c>
      <c r="N80" s="63">
        <f>'Lobby Lounge'!N57+'Fangfei Lounge'!N57+'Royal Court'!N57+'MP Cafe'!N57+'Pingju Zhuhai'!N57+'Room Service'!N57+Banquet!N58+Minibar!N45+STW!N33+'Main Kitchen'!N33+'F&amp;B Admin'!N33</f>
        <v>0</v>
      </c>
      <c r="O80" s="63">
        <f>'Lobby Lounge'!O57+'Fangfei Lounge'!O57+'Royal Court'!O57+'MP Cafe'!O57+'Pingju Zhuhai'!O57+'Room Service'!O57+Banquet!O58+Minibar!O45+STW!O33+'Main Kitchen'!O33+'F&amp;B Admin'!O33</f>
        <v>0</v>
      </c>
      <c r="P80" s="63">
        <f>'Lobby Lounge'!P57+'Fangfei Lounge'!P57+'Royal Court'!P57+'MP Cafe'!P57+'Pingju Zhuhai'!P57+'Room Service'!P57+Banquet!P58+Minibar!P45+STW!P33+'Main Kitchen'!P33+'F&amp;B Admin'!P33</f>
        <v>0</v>
      </c>
      <c r="Q80" s="134">
        <f t="shared" si="11"/>
        <v>0</v>
      </c>
      <c r="R80" s="134">
        <v>0</v>
      </c>
      <c r="S80" s="134">
        <f t="shared" si="12"/>
        <v>0</v>
      </c>
      <c r="U80" s="148"/>
      <c r="V80" s="40">
        <f t="shared" si="13"/>
        <v>0</v>
      </c>
    </row>
    <row r="81" spans="1:22" s="77" customFormat="1" ht="25.4" customHeight="1">
      <c r="A81" s="3" t="s">
        <v>180</v>
      </c>
      <c r="B81" s="3" t="s">
        <v>403</v>
      </c>
      <c r="C81" s="3"/>
      <c r="D81" s="26" t="s">
        <v>181</v>
      </c>
      <c r="E81" s="63">
        <f>'Lobby Lounge'!E58+'Fangfei Lounge'!E58+'Royal Court'!E58+'MP Cafe'!E58+'Pingju Zhuhai'!E58+'Room Service'!E58+Banquet!E59+Minibar!E46+STW!E34+'Main Kitchen'!E34+'F&amp;B Admin'!E34</f>
        <v>2000</v>
      </c>
      <c r="F81" s="63">
        <f>'Lobby Lounge'!F58+'Fangfei Lounge'!F58+'Royal Court'!F58+'MP Cafe'!F58+'Pingju Zhuhai'!F58+'Room Service'!F58+Banquet!F59+Minibar!F46+STW!F34+'Main Kitchen'!F34+'F&amp;B Admin'!F34</f>
        <v>2000</v>
      </c>
      <c r="G81" s="63">
        <f>'Lobby Lounge'!G58+'Fangfei Lounge'!G58+'Royal Court'!G58+'MP Cafe'!G58+'Pingju Zhuhai'!G58+'Room Service'!G58+Banquet!G59+Minibar!G46+STW!G34+'Main Kitchen'!G34+'F&amp;B Admin'!G34</f>
        <v>2000</v>
      </c>
      <c r="H81" s="63">
        <f>'Lobby Lounge'!H58+'Fangfei Lounge'!H58+'Royal Court'!H58+'MP Cafe'!H58+'Pingju Zhuhai'!H58+'Room Service'!H58+Banquet!H59+Minibar!H46+STW!H34+'Main Kitchen'!H34+'F&amp;B Admin'!H34</f>
        <v>2000</v>
      </c>
      <c r="I81" s="63">
        <f>'Lobby Lounge'!I58+'Fangfei Lounge'!I58+'Royal Court'!I58+'MP Cafe'!I58+'Pingju Zhuhai'!I58+'Room Service'!I58+Banquet!I59+Minibar!I46+STW!I34+'Main Kitchen'!I34+'F&amp;B Admin'!I34</f>
        <v>2000</v>
      </c>
      <c r="J81" s="63">
        <f>'Lobby Lounge'!J58+'Fangfei Lounge'!J58+'Royal Court'!J58+'MP Cafe'!J58+'Pingju Zhuhai'!J58+'Room Service'!J58+Banquet!J59+Minibar!J46+STW!J34+'Main Kitchen'!J34+'F&amp;B Admin'!J34</f>
        <v>5000</v>
      </c>
      <c r="K81" s="63">
        <f>'Lobby Lounge'!K58+'Fangfei Lounge'!K58+'Royal Court'!K58+'MP Cafe'!K58+'Pingju Zhuhai'!K58+'Room Service'!K58+Banquet!K59+Minibar!K46+STW!K34+'Main Kitchen'!K34+'F&amp;B Admin'!K34</f>
        <v>8348</v>
      </c>
      <c r="L81" s="63">
        <f>'Lobby Lounge'!L58+'Fangfei Lounge'!L58+'Royal Court'!L58+'MP Cafe'!L58+'Pingju Zhuhai'!L58+'Room Service'!L58+Banquet!L59+Minibar!L46+STW!L34+'Main Kitchen'!L34+'F&amp;B Admin'!L34</f>
        <v>8348</v>
      </c>
      <c r="M81" s="63">
        <f>'Lobby Lounge'!M58+'Fangfei Lounge'!M58+'Royal Court'!M58+'MP Cafe'!M58+'Pingju Zhuhai'!M58+'Room Service'!M58+Banquet!M59+Minibar!M46+STW!M34+'Main Kitchen'!M34+'F&amp;B Admin'!M34</f>
        <v>8348</v>
      </c>
      <c r="N81" s="63">
        <f>'Lobby Lounge'!N58+'Fangfei Lounge'!N58+'Royal Court'!N58+'MP Cafe'!N58+'Pingju Zhuhai'!N58+'Room Service'!N58+Banquet!N59+Minibar!N46+STW!N34+'Main Kitchen'!N34+'F&amp;B Admin'!N34</f>
        <v>8348</v>
      </c>
      <c r="O81" s="63">
        <f>'Lobby Lounge'!O58+'Fangfei Lounge'!O58+'Royal Court'!O58+'MP Cafe'!O58+'Pingju Zhuhai'!O58+'Room Service'!O58+Banquet!O59+Minibar!O46+STW!O34+'Main Kitchen'!O34+'F&amp;B Admin'!O34</f>
        <v>8348</v>
      </c>
      <c r="P81" s="63">
        <f>'Lobby Lounge'!P58+'Fangfei Lounge'!P58+'Royal Court'!P58+'MP Cafe'!P58+'Pingju Zhuhai'!P58+'Room Service'!P58+Banquet!P59+Minibar!P46+STW!P34+'Main Kitchen'!P34+'F&amp;B Admin'!P34</f>
        <v>8348</v>
      </c>
      <c r="Q81" s="134">
        <f t="shared" si="11"/>
        <v>65088</v>
      </c>
      <c r="R81" s="134">
        <v>52909.79</v>
      </c>
      <c r="S81" s="134">
        <f t="shared" si="12"/>
        <v>0.50228035652274572</v>
      </c>
      <c r="U81" s="148"/>
      <c r="V81" s="40" t="e">
        <f t="shared" si="13"/>
        <v>#DIV/0!</v>
      </c>
    </row>
    <row r="82" spans="1:22" s="77" customFormat="1" ht="25.4" customHeight="1">
      <c r="A82" s="3" t="s">
        <v>182</v>
      </c>
      <c r="B82" s="3" t="s">
        <v>403</v>
      </c>
      <c r="C82" s="3"/>
      <c r="D82" s="26" t="s">
        <v>183</v>
      </c>
      <c r="E82" s="63">
        <f>'Lobby Lounge'!E59+'Fangfei Lounge'!E59+'Royal Court'!E59+'MP Cafe'!E59+'Pingju Zhuhai'!E59+'Room Service'!E59+Banquet!E60+Minibar!E47+STW!E35+'Main Kitchen'!E35+'F&amp;B Admin'!E35</f>
        <v>14418.1</v>
      </c>
      <c r="F82" s="63">
        <f>'Lobby Lounge'!F59+'Fangfei Lounge'!F59+'Royal Court'!F59+'MP Cafe'!F59+'Pingju Zhuhai'!F59+'Room Service'!F59+Banquet!F60+Minibar!F47+STW!F35+'Main Kitchen'!F35+'F&amp;B Admin'!F35</f>
        <v>10933.3</v>
      </c>
      <c r="G82" s="63">
        <f>'Lobby Lounge'!G59+'Fangfei Lounge'!G59+'Royal Court'!G59+'MP Cafe'!G59+'Pingju Zhuhai'!G59+'Room Service'!G59+Banquet!G60+Minibar!G47+STW!G35+'Main Kitchen'!G35+'F&amp;B Admin'!G35</f>
        <v>15303</v>
      </c>
      <c r="H82" s="63">
        <f>'Lobby Lounge'!H59+'Fangfei Lounge'!H59+'Royal Court'!H59+'MP Cafe'!H59+'Pingju Zhuhai'!H59+'Room Service'!H59+Banquet!H60+Minibar!H47+STW!H35+'Main Kitchen'!H35+'F&amp;B Admin'!H35</f>
        <v>13460.8</v>
      </c>
      <c r="I82" s="63">
        <f>'Lobby Lounge'!I59+'Fangfei Lounge'!I59+'Royal Court'!I59+'MP Cafe'!I59+'Pingju Zhuhai'!I59+'Room Service'!I59+Banquet!I60+Minibar!I47+STW!I35+'Main Kitchen'!I35+'F&amp;B Admin'!I35</f>
        <v>14941.3</v>
      </c>
      <c r="J82" s="63">
        <f>'Lobby Lounge'!J59+'Fangfei Lounge'!J59+'Royal Court'!J59+'MP Cafe'!J59+'Pingju Zhuhai'!J59+'Room Service'!J59+Banquet!J60+Minibar!J47+STW!J35+'Main Kitchen'!J35+'F&amp;B Admin'!J35</f>
        <v>15250.9</v>
      </c>
      <c r="K82" s="63">
        <f>'Lobby Lounge'!K59+'Fangfei Lounge'!K59+'Royal Court'!K59+'MP Cafe'!K59+'Pingju Zhuhai'!K59+'Room Service'!K59+Banquet!K60+Minibar!K47+STW!K35+'Main Kitchen'!K35+'F&amp;B Admin'!K35</f>
        <v>16487.3</v>
      </c>
      <c r="L82" s="63">
        <f>'Lobby Lounge'!L59+'Fangfei Lounge'!L59+'Royal Court'!L59+'MP Cafe'!L59+'Pingju Zhuhai'!L59+'Room Service'!L59+Banquet!L60+Minibar!L47+STW!L35+'Main Kitchen'!L35+'F&amp;B Admin'!L35</f>
        <v>14922.3</v>
      </c>
      <c r="M82" s="63">
        <f>'Lobby Lounge'!M59+'Fangfei Lounge'!M59+'Royal Court'!M59+'MP Cafe'!M59+'Pingju Zhuhai'!M59+'Room Service'!M59+Banquet!M60+Minibar!M47+STW!M35+'Main Kitchen'!M35+'F&amp;B Admin'!M35</f>
        <v>10397.799999999999</v>
      </c>
      <c r="N82" s="63">
        <f>'Lobby Lounge'!N59+'Fangfei Lounge'!N59+'Royal Court'!N59+'MP Cafe'!N59+'Pingju Zhuhai'!N59+'Room Service'!N59+Banquet!N60+Minibar!N47+STW!N35+'Main Kitchen'!N35+'F&amp;B Admin'!N35</f>
        <v>19507.5</v>
      </c>
      <c r="O82" s="63">
        <f>'Lobby Lounge'!O59+'Fangfei Lounge'!O59+'Royal Court'!O59+'MP Cafe'!O59+'Pingju Zhuhai'!O59+'Room Service'!O59+Banquet!O60+Minibar!O47+STW!O35+'Main Kitchen'!O35+'F&amp;B Admin'!O35</f>
        <v>19096.599999999999</v>
      </c>
      <c r="P82" s="63">
        <f>'Lobby Lounge'!P59+'Fangfei Lounge'!P59+'Royal Court'!P59+'MP Cafe'!P59+'Pingju Zhuhai'!P59+'Room Service'!P59+Banquet!P60+Minibar!P47+STW!P35+'Main Kitchen'!P35+'F&amp;B Admin'!P35</f>
        <v>18628.5</v>
      </c>
      <c r="Q82" s="134">
        <f t="shared" si="11"/>
        <v>183347.4</v>
      </c>
      <c r="R82" s="134">
        <v>227190.2</v>
      </c>
      <c r="S82" s="134">
        <f t="shared" si="12"/>
        <v>1.4148813520083343</v>
      </c>
      <c r="U82" s="148"/>
      <c r="V82" s="40" t="e">
        <f t="shared" si="13"/>
        <v>#DIV/0!</v>
      </c>
    </row>
    <row r="83" spans="1:22" s="77" customFormat="1" ht="25.4" customHeight="1">
      <c r="A83" s="3" t="s">
        <v>184</v>
      </c>
      <c r="B83" s="3" t="s">
        <v>403</v>
      </c>
      <c r="C83" s="3"/>
      <c r="D83" s="26" t="s">
        <v>185</v>
      </c>
      <c r="E83" s="63">
        <f>'Lobby Lounge'!E60+'Fangfei Lounge'!E60+'Royal Court'!E60+'MP Cafe'!E60+'Pingju Zhuhai'!E60+'Room Service'!E60+Banquet!E61+Minibar!E48+STW!E36+'Main Kitchen'!E36+'F&amp;B Admin'!E36</f>
        <v>0</v>
      </c>
      <c r="F83" s="63">
        <f>'Lobby Lounge'!F60+'Fangfei Lounge'!F60+'Royal Court'!F60+'MP Cafe'!F60+'Pingju Zhuhai'!F60+'Room Service'!F60+Banquet!F61+Minibar!F48+STW!F36+'Main Kitchen'!F36+'F&amp;B Admin'!F36</f>
        <v>0</v>
      </c>
      <c r="G83" s="63">
        <f>'Lobby Lounge'!G60+'Fangfei Lounge'!G60+'Royal Court'!G60+'MP Cafe'!G60+'Pingju Zhuhai'!G60+'Room Service'!G60+Banquet!G61+Minibar!G48+STW!G36+'Main Kitchen'!G36+'F&amp;B Admin'!G36</f>
        <v>0</v>
      </c>
      <c r="H83" s="63">
        <f>'Lobby Lounge'!H60+'Fangfei Lounge'!H60+'Royal Court'!H60+'MP Cafe'!H60+'Pingju Zhuhai'!H60+'Room Service'!H60+Banquet!H61+Minibar!H48+STW!H36+'Main Kitchen'!H36+'F&amp;B Admin'!H36</f>
        <v>0</v>
      </c>
      <c r="I83" s="63">
        <f>'Lobby Lounge'!I60+'Fangfei Lounge'!I60+'Royal Court'!I60+'MP Cafe'!I60+'Pingju Zhuhai'!I60+'Room Service'!I60+Banquet!I61+Minibar!I48+STW!I36+'Main Kitchen'!I36+'F&amp;B Admin'!I36</f>
        <v>0</v>
      </c>
      <c r="J83" s="63">
        <f>'Lobby Lounge'!J60+'Fangfei Lounge'!J60+'Royal Court'!J60+'MP Cafe'!J60+'Pingju Zhuhai'!J60+'Room Service'!J60+Banquet!J61+Minibar!J48+STW!J36+'Main Kitchen'!J36+'F&amp;B Admin'!J36</f>
        <v>1200</v>
      </c>
      <c r="K83" s="63">
        <f>'Lobby Lounge'!K60+'Fangfei Lounge'!K60+'Royal Court'!K60+'MP Cafe'!K60+'Pingju Zhuhai'!K60+'Room Service'!K60+Banquet!K61+Minibar!K48+STW!K36+'Main Kitchen'!K36+'F&amp;B Admin'!K36</f>
        <v>1200</v>
      </c>
      <c r="L83" s="63">
        <f>'Lobby Lounge'!L60+'Fangfei Lounge'!L60+'Royal Court'!L60+'MP Cafe'!L60+'Pingju Zhuhai'!L60+'Room Service'!L60+Banquet!L61+Minibar!L48+STW!L36+'Main Kitchen'!L36+'F&amp;B Admin'!L36</f>
        <v>1200</v>
      </c>
      <c r="M83" s="63">
        <f>'Lobby Lounge'!M60+'Fangfei Lounge'!M60+'Royal Court'!M60+'MP Cafe'!M60+'Pingju Zhuhai'!M60+'Room Service'!M60+Banquet!M61+Minibar!M48+STW!M36+'Main Kitchen'!M36+'F&amp;B Admin'!M36</f>
        <v>1200</v>
      </c>
      <c r="N83" s="63">
        <f>'Lobby Lounge'!N60+'Fangfei Lounge'!N60+'Royal Court'!N60+'MP Cafe'!N60+'Pingju Zhuhai'!N60+'Room Service'!N60+Banquet!N61+Minibar!N48+STW!N36+'Main Kitchen'!N36+'F&amp;B Admin'!N36</f>
        <v>1200</v>
      </c>
      <c r="O83" s="63">
        <f>'Lobby Lounge'!O60+'Fangfei Lounge'!O60+'Royal Court'!O60+'MP Cafe'!O60+'Pingju Zhuhai'!O60+'Room Service'!O60+Banquet!O61+Minibar!O48+STW!O36+'Main Kitchen'!O36+'F&amp;B Admin'!O36</f>
        <v>1200</v>
      </c>
      <c r="P83" s="63">
        <f>'Lobby Lounge'!P60+'Fangfei Lounge'!P60+'Royal Court'!P60+'MP Cafe'!P60+'Pingju Zhuhai'!P60+'Room Service'!P60+Banquet!P61+Minibar!P48+STW!P36+'Main Kitchen'!P36+'F&amp;B Admin'!P36</f>
        <v>1200</v>
      </c>
      <c r="Q83" s="134">
        <f t="shared" si="11"/>
        <v>8400</v>
      </c>
      <c r="R83" s="134">
        <v>0</v>
      </c>
      <c r="S83" s="134">
        <f t="shared" si="12"/>
        <v>6.4822317397846968E-2</v>
      </c>
      <c r="U83" s="148"/>
      <c r="V83" s="40" t="e">
        <f t="shared" si="13"/>
        <v>#DIV/0!</v>
      </c>
    </row>
    <row r="84" spans="1:22" s="77" customFormat="1" ht="25.4" customHeight="1">
      <c r="A84" s="3" t="s">
        <v>186</v>
      </c>
      <c r="B84" s="3" t="s">
        <v>403</v>
      </c>
      <c r="C84" s="3"/>
      <c r="D84" s="26" t="s">
        <v>187</v>
      </c>
      <c r="E84" s="63">
        <f>'Lobby Lounge'!E61+'Fangfei Lounge'!E61+'Royal Court'!E61+'MP Cafe'!E61+'Pingju Zhuhai'!E61+'Room Service'!E61+Banquet!E62+Minibar!E49+STW!E37+'Main Kitchen'!E37+'F&amp;B Admin'!E37</f>
        <v>0</v>
      </c>
      <c r="F84" s="63">
        <f>'Lobby Lounge'!F61+'Fangfei Lounge'!F61+'Royal Court'!F61+'MP Cafe'!F61+'Pingju Zhuhai'!F61+'Room Service'!F61+Banquet!F62+Minibar!F49+STW!F37+'Main Kitchen'!F37+'F&amp;B Admin'!F37</f>
        <v>0</v>
      </c>
      <c r="G84" s="63">
        <f>'Lobby Lounge'!G61+'Fangfei Lounge'!G61+'Royal Court'!G61+'MP Cafe'!G61+'Pingju Zhuhai'!G61+'Room Service'!G61+Banquet!G62+Minibar!G49+STW!G37+'Main Kitchen'!G37+'F&amp;B Admin'!G37</f>
        <v>0</v>
      </c>
      <c r="H84" s="63">
        <f>'Lobby Lounge'!H61+'Fangfei Lounge'!H61+'Royal Court'!H61+'MP Cafe'!H61+'Pingju Zhuhai'!H61+'Room Service'!H61+Banquet!H62+Minibar!H49+STW!H37+'Main Kitchen'!H37+'F&amp;B Admin'!H37</f>
        <v>0</v>
      </c>
      <c r="I84" s="63">
        <f>'Lobby Lounge'!I61+'Fangfei Lounge'!I61+'Royal Court'!I61+'MP Cafe'!I61+'Pingju Zhuhai'!I61+'Room Service'!I61+Banquet!I62+Minibar!I49+STW!I37+'Main Kitchen'!I37+'F&amp;B Admin'!I37</f>
        <v>0</v>
      </c>
      <c r="J84" s="63">
        <f>'Lobby Lounge'!J61+'Fangfei Lounge'!J61+'Royal Court'!J61+'MP Cafe'!J61+'Pingju Zhuhai'!J61+'Room Service'!J61+Banquet!J62+Minibar!J49+STW!J37+'Main Kitchen'!J37+'F&amp;B Admin'!J37</f>
        <v>1500</v>
      </c>
      <c r="K84" s="63">
        <f>'Lobby Lounge'!K61+'Fangfei Lounge'!K61+'Royal Court'!K61+'MP Cafe'!K61+'Pingju Zhuhai'!K61+'Room Service'!K61+Banquet!K62+Minibar!K49+STW!K37+'Main Kitchen'!K37+'F&amp;B Admin'!K37</f>
        <v>1500</v>
      </c>
      <c r="L84" s="63">
        <f>'Lobby Lounge'!L61+'Fangfei Lounge'!L61+'Royal Court'!L61+'MP Cafe'!L61+'Pingju Zhuhai'!L61+'Room Service'!L61+Banquet!L62+Minibar!L49+STW!L37+'Main Kitchen'!L37+'F&amp;B Admin'!L37</f>
        <v>1500</v>
      </c>
      <c r="M84" s="63">
        <f>'Lobby Lounge'!M61+'Fangfei Lounge'!M61+'Royal Court'!M61+'MP Cafe'!M61+'Pingju Zhuhai'!M61+'Room Service'!M61+Banquet!M62+Minibar!M49+STW!M37+'Main Kitchen'!M37+'F&amp;B Admin'!M37</f>
        <v>1500</v>
      </c>
      <c r="N84" s="63">
        <f>'Lobby Lounge'!N61+'Fangfei Lounge'!N61+'Royal Court'!N61+'MP Cafe'!N61+'Pingju Zhuhai'!N61+'Room Service'!N61+Banquet!N62+Minibar!N49+STW!N37+'Main Kitchen'!N37+'F&amp;B Admin'!N37</f>
        <v>1500</v>
      </c>
      <c r="O84" s="63">
        <f>'Lobby Lounge'!O61+'Fangfei Lounge'!O61+'Royal Court'!O61+'MP Cafe'!O61+'Pingju Zhuhai'!O61+'Room Service'!O61+Banquet!O62+Minibar!O49+STW!O37+'Main Kitchen'!O37+'F&amp;B Admin'!O37</f>
        <v>1500</v>
      </c>
      <c r="P84" s="63">
        <f>'Lobby Lounge'!P61+'Fangfei Lounge'!P61+'Royal Court'!P61+'MP Cafe'!P61+'Pingju Zhuhai'!P61+'Room Service'!P61+Banquet!P62+Minibar!P49+STW!P37+'Main Kitchen'!P37+'F&amp;B Admin'!P37</f>
        <v>1500</v>
      </c>
      <c r="Q84" s="134">
        <f t="shared" si="11"/>
        <v>10500</v>
      </c>
      <c r="R84" s="134">
        <v>23713.01</v>
      </c>
      <c r="S84" s="134">
        <f t="shared" si="12"/>
        <v>8.1027896747308717E-2</v>
      </c>
      <c r="U84" s="148"/>
      <c r="V84" s="40" t="e">
        <f t="shared" si="13"/>
        <v>#DIV/0!</v>
      </c>
    </row>
    <row r="85" spans="1:22" s="77" customFormat="1" ht="25.4" customHeight="1">
      <c r="A85" s="3" t="s">
        <v>188</v>
      </c>
      <c r="B85" s="3" t="s">
        <v>403</v>
      </c>
      <c r="C85" s="3"/>
      <c r="D85" s="26" t="s">
        <v>189</v>
      </c>
      <c r="E85" s="63">
        <f>'Lobby Lounge'!E62+'Fangfei Lounge'!E62+'Royal Court'!E62+'MP Cafe'!E62+'Pingju Zhuhai'!E62+'Room Service'!E62+Banquet!E63+Minibar!E50+STW!E38+'Main Kitchen'!E38+'F&amp;B Admin'!E38</f>
        <v>0</v>
      </c>
      <c r="F85" s="63">
        <f>'Lobby Lounge'!F62+'Fangfei Lounge'!F62+'Royal Court'!F62+'MP Cafe'!F62+'Pingju Zhuhai'!F62+'Room Service'!F62+Banquet!F63+Minibar!F50+STW!F38+'Main Kitchen'!F38+'F&amp;B Admin'!F38</f>
        <v>0</v>
      </c>
      <c r="G85" s="63">
        <f>'Lobby Lounge'!G62+'Fangfei Lounge'!G62+'Royal Court'!G62+'MP Cafe'!G62+'Pingju Zhuhai'!G62+'Room Service'!G62+Banquet!G63+Minibar!G50+STW!G38+'Main Kitchen'!G38+'F&amp;B Admin'!G38</f>
        <v>0</v>
      </c>
      <c r="H85" s="63">
        <f>'Lobby Lounge'!H62+'Fangfei Lounge'!H62+'Royal Court'!H62+'MP Cafe'!H62+'Pingju Zhuhai'!H62+'Room Service'!H62+Banquet!H63+Minibar!H50+STW!H38+'Main Kitchen'!H38+'F&amp;B Admin'!H38</f>
        <v>0</v>
      </c>
      <c r="I85" s="63">
        <f>'Lobby Lounge'!I62+'Fangfei Lounge'!I62+'Royal Court'!I62+'MP Cafe'!I62+'Pingju Zhuhai'!I62+'Room Service'!I62+Banquet!I63+Minibar!I50+STW!I38+'Main Kitchen'!I38+'F&amp;B Admin'!I38</f>
        <v>0</v>
      </c>
      <c r="J85" s="63">
        <f>'Lobby Lounge'!J62+'Fangfei Lounge'!J62+'Royal Court'!J62+'MP Cafe'!J62+'Pingju Zhuhai'!J62+'Room Service'!J62+Banquet!J63+Minibar!J50+STW!J38+'Main Kitchen'!J38+'F&amp;B Admin'!J38</f>
        <v>500</v>
      </c>
      <c r="K85" s="63">
        <f>'Lobby Lounge'!K62+'Fangfei Lounge'!K62+'Royal Court'!K62+'MP Cafe'!K62+'Pingju Zhuhai'!K62+'Room Service'!K62+Banquet!K63+Minibar!K50+STW!K38+'Main Kitchen'!K38+'F&amp;B Admin'!K38</f>
        <v>500</v>
      </c>
      <c r="L85" s="63">
        <f>'Lobby Lounge'!L62+'Fangfei Lounge'!L62+'Royal Court'!L62+'MP Cafe'!L62+'Pingju Zhuhai'!L62+'Room Service'!L62+Banquet!L63+Minibar!L50+STW!L38+'Main Kitchen'!L38+'F&amp;B Admin'!L38</f>
        <v>500</v>
      </c>
      <c r="M85" s="63">
        <f>'Lobby Lounge'!M62+'Fangfei Lounge'!M62+'Royal Court'!M62+'MP Cafe'!M62+'Pingju Zhuhai'!M62+'Room Service'!M62+Banquet!M63+Minibar!M50+STW!M38+'Main Kitchen'!M38+'F&amp;B Admin'!M38</f>
        <v>1000</v>
      </c>
      <c r="N85" s="63">
        <f>'Lobby Lounge'!N62+'Fangfei Lounge'!N62+'Royal Court'!N62+'MP Cafe'!N62+'Pingju Zhuhai'!N62+'Room Service'!N62+Banquet!N63+Minibar!N50+STW!N38+'Main Kitchen'!N38+'F&amp;B Admin'!N38</f>
        <v>1000</v>
      </c>
      <c r="O85" s="63">
        <f>'Lobby Lounge'!O62+'Fangfei Lounge'!O62+'Royal Court'!O62+'MP Cafe'!O62+'Pingju Zhuhai'!O62+'Room Service'!O62+Banquet!O63+Minibar!O50+STW!O38+'Main Kitchen'!O38+'F&amp;B Admin'!O38</f>
        <v>1000</v>
      </c>
      <c r="P85" s="63">
        <f>'Lobby Lounge'!P62+'Fangfei Lounge'!P62+'Royal Court'!P62+'MP Cafe'!P62+'Pingju Zhuhai'!P62+'Room Service'!P62+Banquet!P63+Minibar!P50+STW!P38+'Main Kitchen'!P38+'F&amp;B Admin'!P38</f>
        <v>1000</v>
      </c>
      <c r="Q85" s="134">
        <f t="shared" si="11"/>
        <v>5500</v>
      </c>
      <c r="R85" s="134">
        <v>27356</v>
      </c>
      <c r="S85" s="134">
        <f t="shared" si="12"/>
        <v>4.2443184010495044E-2</v>
      </c>
      <c r="U85" s="148"/>
      <c r="V85" s="40" t="e">
        <f t="shared" si="13"/>
        <v>#DIV/0!</v>
      </c>
    </row>
    <row r="86" spans="1:22" s="77" customFormat="1" ht="25.4" customHeight="1">
      <c r="A86" s="3" t="s">
        <v>190</v>
      </c>
      <c r="B86" s="3" t="s">
        <v>403</v>
      </c>
      <c r="C86" s="3"/>
      <c r="D86" s="26" t="s">
        <v>191</v>
      </c>
      <c r="E86" s="63">
        <f>'Lobby Lounge'!E63+'Fangfei Lounge'!E63+'Royal Court'!E63+'MP Cafe'!E63+'Pingju Zhuhai'!E63+'Room Service'!E63+Banquet!E64+Minibar!E51+STW!E39+'Main Kitchen'!E39+'F&amp;B Admin'!E39</f>
        <v>0</v>
      </c>
      <c r="F86" s="63">
        <f>'Lobby Lounge'!F63+'Fangfei Lounge'!F63+'Royal Court'!F63+'MP Cafe'!F63+'Pingju Zhuhai'!F63+'Room Service'!F63+Banquet!F64+Minibar!F51+STW!F39+'Main Kitchen'!F39+'F&amp;B Admin'!F39</f>
        <v>0</v>
      </c>
      <c r="G86" s="63">
        <f>'Lobby Lounge'!G63+'Fangfei Lounge'!G63+'Royal Court'!G63+'MP Cafe'!G63+'Pingju Zhuhai'!G63+'Room Service'!G63+Banquet!G64+Minibar!G51+STW!G39+'Main Kitchen'!G39+'F&amp;B Admin'!G39</f>
        <v>0</v>
      </c>
      <c r="H86" s="63">
        <f>'Lobby Lounge'!H63+'Fangfei Lounge'!H63+'Royal Court'!H63+'MP Cafe'!H63+'Pingju Zhuhai'!H63+'Room Service'!H63+Banquet!H64+Minibar!H51+STW!H39+'Main Kitchen'!H39+'F&amp;B Admin'!H39</f>
        <v>0</v>
      </c>
      <c r="I86" s="63">
        <f>'Lobby Lounge'!I63+'Fangfei Lounge'!I63+'Royal Court'!I63+'MP Cafe'!I63+'Pingju Zhuhai'!I63+'Room Service'!I63+Banquet!I64+Minibar!I51+STW!I39+'Main Kitchen'!I39+'F&amp;B Admin'!I39</f>
        <v>0</v>
      </c>
      <c r="J86" s="63">
        <f>'Lobby Lounge'!J63+'Fangfei Lounge'!J63+'Royal Court'!J63+'MP Cafe'!J63+'Pingju Zhuhai'!J63+'Room Service'!J63+Banquet!J64+Minibar!J51+STW!J39+'Main Kitchen'!J39+'F&amp;B Admin'!J39</f>
        <v>0</v>
      </c>
      <c r="K86" s="63">
        <f>'Lobby Lounge'!K63+'Fangfei Lounge'!K63+'Royal Court'!K63+'MP Cafe'!K63+'Pingju Zhuhai'!K63+'Room Service'!K63+Banquet!K64+Minibar!K51+STW!K39+'Main Kitchen'!K39+'F&amp;B Admin'!K39</f>
        <v>0</v>
      </c>
      <c r="L86" s="63">
        <f>'Lobby Lounge'!L63+'Fangfei Lounge'!L63+'Royal Court'!L63+'MP Cafe'!L63+'Pingju Zhuhai'!L63+'Room Service'!L63+Banquet!L64+Minibar!L51+STW!L39+'Main Kitchen'!L39+'F&amp;B Admin'!L39</f>
        <v>0</v>
      </c>
      <c r="M86" s="63">
        <f>'Lobby Lounge'!M63+'Fangfei Lounge'!M63+'Royal Court'!M63+'MP Cafe'!M63+'Pingju Zhuhai'!M63+'Room Service'!M63+Banquet!M64+Minibar!M51+STW!M39+'Main Kitchen'!M39+'F&amp;B Admin'!M39</f>
        <v>0</v>
      </c>
      <c r="N86" s="63">
        <f>'Lobby Lounge'!N63+'Fangfei Lounge'!N63+'Royal Court'!N63+'MP Cafe'!N63+'Pingju Zhuhai'!N63+'Room Service'!N63+Banquet!N64+Minibar!N51+STW!N39+'Main Kitchen'!N39+'F&amp;B Admin'!N39</f>
        <v>0</v>
      </c>
      <c r="O86" s="63">
        <f>'Lobby Lounge'!O63+'Fangfei Lounge'!O63+'Royal Court'!O63+'MP Cafe'!O63+'Pingju Zhuhai'!O63+'Room Service'!O63+Banquet!O64+Minibar!O51+STW!O39+'Main Kitchen'!O39+'F&amp;B Admin'!O39</f>
        <v>0</v>
      </c>
      <c r="P86" s="63">
        <f>'Lobby Lounge'!P63+'Fangfei Lounge'!P63+'Royal Court'!P63+'MP Cafe'!P63+'Pingju Zhuhai'!P63+'Room Service'!P63+Banquet!P64+Minibar!P51+STW!P39+'Main Kitchen'!P39+'F&amp;B Admin'!P39</f>
        <v>0</v>
      </c>
      <c r="Q86" s="134">
        <f t="shared" si="11"/>
        <v>0</v>
      </c>
      <c r="R86" s="134">
        <v>17090.669999999998</v>
      </c>
      <c r="S86" s="134">
        <f t="shared" si="12"/>
        <v>0</v>
      </c>
      <c r="U86" s="148"/>
      <c r="V86" s="40">
        <f t="shared" si="13"/>
        <v>0</v>
      </c>
    </row>
    <row r="87" spans="1:22" s="77" customFormat="1" ht="25.4" customHeight="1">
      <c r="A87" s="3" t="s">
        <v>192</v>
      </c>
      <c r="B87" s="3" t="s">
        <v>403</v>
      </c>
      <c r="C87" s="3"/>
      <c r="D87" s="26" t="s">
        <v>193</v>
      </c>
      <c r="E87" s="63">
        <f>'Lobby Lounge'!E64+'Fangfei Lounge'!E64+'Royal Court'!E64+'MP Cafe'!E64+'Pingju Zhuhai'!E64+'Room Service'!E64+Banquet!E65+Minibar!E52+STW!E40+'Main Kitchen'!E40+'F&amp;B Admin'!E40</f>
        <v>23354.75</v>
      </c>
      <c r="F87" s="63">
        <f>'Lobby Lounge'!F64+'Fangfei Lounge'!F64+'Royal Court'!F64+'MP Cafe'!F64+'Pingju Zhuhai'!F64+'Room Service'!F64+Banquet!F65+Minibar!F52+STW!F40+'Main Kitchen'!F40+'F&amp;B Admin'!F40</f>
        <v>20913</v>
      </c>
      <c r="G87" s="63">
        <f>'Lobby Lounge'!G64+'Fangfei Lounge'!G64+'Royal Court'!G64+'MP Cafe'!G64+'Pingju Zhuhai'!G64+'Room Service'!G64+Banquet!G65+Minibar!G52+STW!G40+'Main Kitchen'!G40+'F&amp;B Admin'!G40</f>
        <v>23354.75</v>
      </c>
      <c r="H87" s="63">
        <f>'Lobby Lounge'!H64+'Fangfei Lounge'!H64+'Royal Court'!H64+'MP Cafe'!H64+'Pingju Zhuhai'!H64+'Room Service'!H64+Banquet!H65+Minibar!H52+STW!H40+'Main Kitchen'!H40+'F&amp;B Admin'!H40</f>
        <v>23207.5</v>
      </c>
      <c r="I87" s="63">
        <f>'Lobby Lounge'!I64+'Fangfei Lounge'!I64+'Royal Court'!I64+'MP Cafe'!I64+'Pingju Zhuhai'!I64+'Room Service'!I64+Banquet!I65+Minibar!I52+STW!I40+'Main Kitchen'!I40+'F&amp;B Admin'!I40</f>
        <v>23354.75</v>
      </c>
      <c r="J87" s="63">
        <f>'Lobby Lounge'!J64+'Fangfei Lounge'!J64+'Royal Court'!J64+'MP Cafe'!J64+'Pingju Zhuhai'!J64+'Room Service'!J64+Banquet!J65+Minibar!J52+STW!J40+'Main Kitchen'!J40+'F&amp;B Admin'!J40</f>
        <v>24207.5</v>
      </c>
      <c r="K87" s="63">
        <f>'Lobby Lounge'!K64+'Fangfei Lounge'!K64+'Royal Court'!K64+'MP Cafe'!K64+'Pingju Zhuhai'!K64+'Room Service'!K64+Banquet!K65+Minibar!K52+STW!K40+'Main Kitchen'!K40+'F&amp;B Admin'!K40</f>
        <v>24354.75</v>
      </c>
      <c r="L87" s="63">
        <f>'Lobby Lounge'!L64+'Fangfei Lounge'!L64+'Royal Court'!L64+'MP Cafe'!L64+'Pingju Zhuhai'!L64+'Room Service'!L64+Banquet!L65+Minibar!L52+STW!L40+'Main Kitchen'!L40+'F&amp;B Admin'!L40</f>
        <v>24354.75</v>
      </c>
      <c r="M87" s="63">
        <f>'Lobby Lounge'!M64+'Fangfei Lounge'!M64+'Royal Court'!M64+'MP Cafe'!M64+'Pingju Zhuhai'!M64+'Room Service'!M64+Banquet!M65+Minibar!M52+STW!M40+'Main Kitchen'!M40+'F&amp;B Admin'!M40</f>
        <v>25207.5</v>
      </c>
      <c r="N87" s="63">
        <f>'Lobby Lounge'!N64+'Fangfei Lounge'!N64+'Royal Court'!N64+'MP Cafe'!N64+'Pingju Zhuhai'!N64+'Room Service'!N64+Banquet!N65+Minibar!N52+STW!N40+'Main Kitchen'!N40+'F&amp;B Admin'!N40</f>
        <v>25354.75</v>
      </c>
      <c r="O87" s="63">
        <f>'Lobby Lounge'!O64+'Fangfei Lounge'!O64+'Royal Court'!O64+'MP Cafe'!O64+'Pingju Zhuhai'!O64+'Room Service'!O64+Banquet!O65+Minibar!O52+STW!O40+'Main Kitchen'!O40+'F&amp;B Admin'!O40</f>
        <v>25207.5</v>
      </c>
      <c r="P87" s="63">
        <f>'Lobby Lounge'!P64+'Fangfei Lounge'!P64+'Royal Court'!P64+'MP Cafe'!P64+'Pingju Zhuhai'!P64+'Room Service'!P64+Banquet!P65+Minibar!P52+STW!P40+'Main Kitchen'!P40+'F&amp;B Admin'!P40</f>
        <v>25354.75</v>
      </c>
      <c r="Q87" s="134">
        <f t="shared" si="11"/>
        <v>288226.25</v>
      </c>
      <c r="R87" s="134">
        <v>60385.21</v>
      </c>
      <c r="S87" s="134">
        <f t="shared" si="12"/>
        <v>2.2242254118918083</v>
      </c>
      <c r="U87" s="148"/>
      <c r="V87" s="40" t="e">
        <f t="shared" si="13"/>
        <v>#DIV/0!</v>
      </c>
    </row>
    <row r="88" spans="1:22" s="77" customFormat="1" ht="25.4" customHeight="1">
      <c r="A88" s="3" t="s">
        <v>194</v>
      </c>
      <c r="B88" s="3" t="s">
        <v>403</v>
      </c>
      <c r="C88" s="3"/>
      <c r="D88" s="26" t="s">
        <v>195</v>
      </c>
      <c r="E88" s="63">
        <f>'Lobby Lounge'!E65+'Fangfei Lounge'!E65+'Royal Court'!E65+'MP Cafe'!E65+'Pingju Zhuhai'!E65+'Room Service'!E65+Banquet!E66+Minibar!E53+STW!E41+'Main Kitchen'!E41+'F&amp;B Admin'!E41</f>
        <v>2100</v>
      </c>
      <c r="F88" s="63">
        <f>'Lobby Lounge'!F65+'Fangfei Lounge'!F65+'Royal Court'!F65+'MP Cafe'!F65+'Pingju Zhuhai'!F65+'Room Service'!F65+Banquet!F66+Minibar!F53+STW!F41+'Main Kitchen'!F41+'F&amp;B Admin'!F41</f>
        <v>2100</v>
      </c>
      <c r="G88" s="63">
        <f>'Lobby Lounge'!G65+'Fangfei Lounge'!G65+'Royal Court'!G65+'MP Cafe'!G65+'Pingju Zhuhai'!G65+'Room Service'!G65+Banquet!G66+Minibar!G53+STW!G41+'Main Kitchen'!G41+'F&amp;B Admin'!G41</f>
        <v>2100</v>
      </c>
      <c r="H88" s="63">
        <f>'Lobby Lounge'!H65+'Fangfei Lounge'!H65+'Royal Court'!H65+'MP Cafe'!H65+'Pingju Zhuhai'!H65+'Room Service'!H65+Banquet!H66+Minibar!H53+STW!H41+'Main Kitchen'!H41+'F&amp;B Admin'!H41</f>
        <v>3100</v>
      </c>
      <c r="I88" s="63">
        <f>'Lobby Lounge'!I65+'Fangfei Lounge'!I65+'Royal Court'!I65+'MP Cafe'!I65+'Pingju Zhuhai'!I65+'Room Service'!I65+Banquet!I66+Minibar!I53+STW!I41+'Main Kitchen'!I41+'F&amp;B Admin'!I41</f>
        <v>3100</v>
      </c>
      <c r="J88" s="63">
        <f>'Lobby Lounge'!J65+'Fangfei Lounge'!J65+'Royal Court'!J65+'MP Cafe'!J65+'Pingju Zhuhai'!J65+'Room Service'!J65+Banquet!J66+Minibar!J53+STW!J41+'Main Kitchen'!J41+'F&amp;B Admin'!J41</f>
        <v>3100</v>
      </c>
      <c r="K88" s="63">
        <f>'Lobby Lounge'!K65+'Fangfei Lounge'!K65+'Royal Court'!K65+'MP Cafe'!K65+'Pingju Zhuhai'!K65+'Room Service'!K65+Banquet!K66+Minibar!K53+STW!K41+'Main Kitchen'!K41+'F&amp;B Admin'!K41</f>
        <v>3100</v>
      </c>
      <c r="L88" s="63">
        <f>'Lobby Lounge'!L65+'Fangfei Lounge'!L65+'Royal Court'!L65+'MP Cafe'!L65+'Pingju Zhuhai'!L65+'Room Service'!L65+Banquet!L66+Minibar!L53+STW!L41+'Main Kitchen'!L41+'F&amp;B Admin'!L41</f>
        <v>3100</v>
      </c>
      <c r="M88" s="63">
        <f>'Lobby Lounge'!M65+'Fangfei Lounge'!M65+'Royal Court'!M65+'MP Cafe'!M65+'Pingju Zhuhai'!M65+'Room Service'!M65+Banquet!M66+Minibar!M53+STW!M41+'Main Kitchen'!M41+'F&amp;B Admin'!M41</f>
        <v>3100</v>
      </c>
      <c r="N88" s="63">
        <f>'Lobby Lounge'!N65+'Fangfei Lounge'!N65+'Royal Court'!N65+'MP Cafe'!N65+'Pingju Zhuhai'!N65+'Room Service'!N65+Banquet!N66+Minibar!N53+STW!N41+'Main Kitchen'!N41+'F&amp;B Admin'!N41</f>
        <v>3100</v>
      </c>
      <c r="O88" s="63">
        <f>'Lobby Lounge'!O65+'Fangfei Lounge'!O65+'Royal Court'!O65+'MP Cafe'!O65+'Pingju Zhuhai'!O65+'Room Service'!O65+Banquet!O66+Minibar!O53+STW!O41+'Main Kitchen'!O41+'F&amp;B Admin'!O41</f>
        <v>3100</v>
      </c>
      <c r="P88" s="63">
        <f>'Lobby Lounge'!P65+'Fangfei Lounge'!P65+'Royal Court'!P65+'MP Cafe'!P65+'Pingju Zhuhai'!P65+'Room Service'!P65+Banquet!P66+Minibar!P53+STW!P41+'Main Kitchen'!P41+'F&amp;B Admin'!P41</f>
        <v>3100</v>
      </c>
      <c r="Q88" s="134">
        <f t="shared" si="11"/>
        <v>34200</v>
      </c>
      <c r="R88" s="134">
        <v>72118.399999999994</v>
      </c>
      <c r="S88" s="134">
        <f t="shared" si="12"/>
        <v>0.26391943511980553</v>
      </c>
      <c r="U88" s="148"/>
      <c r="V88" s="40" t="e">
        <f t="shared" si="13"/>
        <v>#DIV/0!</v>
      </c>
    </row>
    <row r="89" spans="1:22" s="77" customFormat="1" ht="25.4" customHeight="1">
      <c r="A89" s="3" t="s">
        <v>196</v>
      </c>
      <c r="B89" s="3" t="s">
        <v>403</v>
      </c>
      <c r="C89" s="3"/>
      <c r="D89" s="26" t="s">
        <v>197</v>
      </c>
      <c r="E89" s="63">
        <f>'Lobby Lounge'!E66+'Fangfei Lounge'!E66+'Royal Court'!E66+'MP Cafe'!E66+'Pingju Zhuhai'!E66+'Room Service'!E66+Banquet!E67+Minibar!E54+STW!E42+'Main Kitchen'!E42+'F&amp;B Admin'!E42</f>
        <v>400</v>
      </c>
      <c r="F89" s="63">
        <f>'Lobby Lounge'!F66+'Fangfei Lounge'!F66+'Royal Court'!F66+'MP Cafe'!F66+'Pingju Zhuhai'!F66+'Room Service'!F66+Banquet!F67+Minibar!F54+STW!F42+'Main Kitchen'!F42+'F&amp;B Admin'!F42</f>
        <v>400</v>
      </c>
      <c r="G89" s="63">
        <f>'Lobby Lounge'!G66+'Fangfei Lounge'!G66+'Royal Court'!G66+'MP Cafe'!G66+'Pingju Zhuhai'!G66+'Room Service'!G66+Banquet!G67+Minibar!G54+STW!G42+'Main Kitchen'!G42+'F&amp;B Admin'!G42</f>
        <v>400</v>
      </c>
      <c r="H89" s="63">
        <f>'Lobby Lounge'!H66+'Fangfei Lounge'!H66+'Royal Court'!H66+'MP Cafe'!H66+'Pingju Zhuhai'!H66+'Room Service'!H66+Banquet!H67+Minibar!H54+STW!H42+'Main Kitchen'!H42+'F&amp;B Admin'!H42</f>
        <v>400</v>
      </c>
      <c r="I89" s="63">
        <f>'Lobby Lounge'!I66+'Fangfei Lounge'!I66+'Royal Court'!I66+'MP Cafe'!I66+'Pingju Zhuhai'!I66+'Room Service'!I66+Banquet!I67+Minibar!I54+STW!I42+'Main Kitchen'!I42+'F&amp;B Admin'!I42</f>
        <v>400</v>
      </c>
      <c r="J89" s="63">
        <f>'Lobby Lounge'!J66+'Fangfei Lounge'!J66+'Royal Court'!J66+'MP Cafe'!J66+'Pingju Zhuhai'!J66+'Room Service'!J66+Banquet!J67+Minibar!J54+STW!J42+'Main Kitchen'!J42+'F&amp;B Admin'!J42</f>
        <v>700</v>
      </c>
      <c r="K89" s="63">
        <f>'Lobby Lounge'!K66+'Fangfei Lounge'!K66+'Royal Court'!K66+'MP Cafe'!K66+'Pingju Zhuhai'!K66+'Room Service'!K66+Banquet!K67+Minibar!K54+STW!K42+'Main Kitchen'!K42+'F&amp;B Admin'!K42</f>
        <v>700</v>
      </c>
      <c r="L89" s="63">
        <f>'Lobby Lounge'!L66+'Fangfei Lounge'!L66+'Royal Court'!L66+'MP Cafe'!L66+'Pingju Zhuhai'!L66+'Room Service'!L66+Banquet!L67+Minibar!L54+STW!L42+'Main Kitchen'!L42+'F&amp;B Admin'!L42</f>
        <v>700</v>
      </c>
      <c r="M89" s="63">
        <f>'Lobby Lounge'!M66+'Fangfei Lounge'!M66+'Royal Court'!M66+'MP Cafe'!M66+'Pingju Zhuhai'!M66+'Room Service'!M66+Banquet!M67+Minibar!M54+STW!M42+'Main Kitchen'!M42+'F&amp;B Admin'!M42</f>
        <v>700</v>
      </c>
      <c r="N89" s="63">
        <f>'Lobby Lounge'!N66+'Fangfei Lounge'!N66+'Royal Court'!N66+'MP Cafe'!N66+'Pingju Zhuhai'!N66+'Room Service'!N66+Banquet!N67+Minibar!N54+STW!N42+'Main Kitchen'!N42+'F&amp;B Admin'!N42</f>
        <v>700</v>
      </c>
      <c r="O89" s="63">
        <f>'Lobby Lounge'!O66+'Fangfei Lounge'!O66+'Royal Court'!O66+'MP Cafe'!O66+'Pingju Zhuhai'!O66+'Room Service'!O66+Banquet!O67+Minibar!O54+STW!O42+'Main Kitchen'!O42+'F&amp;B Admin'!O42</f>
        <v>700</v>
      </c>
      <c r="P89" s="63">
        <f>'Lobby Lounge'!P66+'Fangfei Lounge'!P66+'Royal Court'!P66+'MP Cafe'!P66+'Pingju Zhuhai'!P66+'Room Service'!P66+Banquet!P67+Minibar!P54+STW!P42+'Main Kitchen'!P42+'F&amp;B Admin'!P42</f>
        <v>700</v>
      </c>
      <c r="Q89" s="134">
        <f t="shared" si="11"/>
        <v>6900</v>
      </c>
      <c r="R89" s="134">
        <v>6896.13</v>
      </c>
      <c r="S89" s="134">
        <f t="shared" si="12"/>
        <v>5.3246903576802868E-2</v>
      </c>
      <c r="U89" s="148"/>
      <c r="V89" s="40" t="e">
        <f t="shared" si="13"/>
        <v>#DIV/0!</v>
      </c>
    </row>
    <row r="90" spans="1:22" s="77" customFormat="1" ht="25.4" customHeight="1">
      <c r="A90" s="3" t="s">
        <v>198</v>
      </c>
      <c r="B90" s="3" t="s">
        <v>403</v>
      </c>
      <c r="C90" s="3"/>
      <c r="D90" s="26" t="s">
        <v>199</v>
      </c>
      <c r="E90" s="63">
        <f>'Lobby Lounge'!E67+'Fangfei Lounge'!E67+'Royal Court'!E67+'MP Cafe'!E67+'Pingju Zhuhai'!E67+'Room Service'!E67+Banquet!E68+Minibar!E55+STW!E43+'Main Kitchen'!E43+'F&amp;B Admin'!E43</f>
        <v>1596</v>
      </c>
      <c r="F90" s="63">
        <f>'Lobby Lounge'!F67+'Fangfei Lounge'!F67+'Royal Court'!F67+'MP Cafe'!F67+'Pingju Zhuhai'!F67+'Room Service'!F67+Banquet!F68+Minibar!F55+STW!F43+'Main Kitchen'!F43+'F&amp;B Admin'!F43</f>
        <v>1548</v>
      </c>
      <c r="G90" s="63">
        <f>'Lobby Lounge'!G67+'Fangfei Lounge'!G67+'Royal Court'!G67+'MP Cafe'!G67+'Pingju Zhuhai'!G67+'Room Service'!G67+Banquet!G68+Minibar!G55+STW!G43+'Main Kitchen'!G43+'F&amp;B Admin'!G43</f>
        <v>1644</v>
      </c>
      <c r="H90" s="63">
        <f>'Lobby Lounge'!H67+'Fangfei Lounge'!H67+'Royal Court'!H67+'MP Cafe'!H67+'Pingju Zhuhai'!H67+'Room Service'!H67+Banquet!H68+Minibar!H55+STW!H43+'Main Kitchen'!H43+'F&amp;B Admin'!H43</f>
        <v>1644</v>
      </c>
      <c r="I90" s="63">
        <f>'Lobby Lounge'!I67+'Fangfei Lounge'!I67+'Royal Court'!I67+'MP Cafe'!I67+'Pingju Zhuhai'!I67+'Room Service'!I67+Banquet!I68+Minibar!I55+STW!I43+'Main Kitchen'!I43+'F&amp;B Admin'!I43</f>
        <v>1752</v>
      </c>
      <c r="J90" s="63">
        <f>'Lobby Lounge'!J67+'Fangfei Lounge'!J67+'Royal Court'!J67+'MP Cafe'!J67+'Pingju Zhuhai'!J67+'Room Service'!J67+Banquet!J68+Minibar!J55+STW!J43+'Main Kitchen'!J43+'F&amp;B Admin'!J43</f>
        <v>1788</v>
      </c>
      <c r="K90" s="63">
        <f>'Lobby Lounge'!K67+'Fangfei Lounge'!K67+'Royal Court'!K67+'MP Cafe'!K67+'Pingju Zhuhai'!K67+'Room Service'!K67+Banquet!K68+Minibar!K55+STW!K43+'Main Kitchen'!K43+'F&amp;B Admin'!K43</f>
        <v>1824</v>
      </c>
      <c r="L90" s="63">
        <f>'Lobby Lounge'!L67+'Fangfei Lounge'!L67+'Royal Court'!L67+'MP Cafe'!L67+'Pingju Zhuhai'!L67+'Room Service'!L67+Banquet!L68+Minibar!L55+STW!L43+'Main Kitchen'!L43+'F&amp;B Admin'!L43</f>
        <v>1800</v>
      </c>
      <c r="M90" s="63">
        <f>'Lobby Lounge'!M67+'Fangfei Lounge'!M67+'Royal Court'!M67+'MP Cafe'!M67+'Pingju Zhuhai'!M67+'Room Service'!M67+Banquet!M68+Minibar!M55+STW!M43+'Main Kitchen'!M43+'F&amp;B Admin'!M43</f>
        <v>1788</v>
      </c>
      <c r="N90" s="63">
        <f>'Lobby Lounge'!N67+'Fangfei Lounge'!N67+'Royal Court'!N67+'MP Cafe'!N67+'Pingju Zhuhai'!N67+'Room Service'!N67+Banquet!N68+Minibar!N55+STW!N43+'Main Kitchen'!N43+'F&amp;B Admin'!N43</f>
        <v>1884</v>
      </c>
      <c r="O90" s="63">
        <f>'Lobby Lounge'!O67+'Fangfei Lounge'!O67+'Royal Court'!O67+'MP Cafe'!O67+'Pingju Zhuhai'!O67+'Room Service'!O67+Banquet!O68+Minibar!O55+STW!O43+'Main Kitchen'!O43+'F&amp;B Admin'!O43</f>
        <v>1956</v>
      </c>
      <c r="P90" s="63">
        <f>'Lobby Lounge'!P67+'Fangfei Lounge'!P67+'Royal Court'!P67+'MP Cafe'!P67+'Pingju Zhuhai'!P67+'Room Service'!P67+Banquet!P68+Minibar!P55+STW!P43+'Main Kitchen'!P43+'F&amp;B Admin'!P43</f>
        <v>2004</v>
      </c>
      <c r="Q90" s="134">
        <f t="shared" si="11"/>
        <v>21228</v>
      </c>
      <c r="R90" s="134">
        <v>44103.9</v>
      </c>
      <c r="S90" s="134">
        <f t="shared" si="12"/>
        <v>0.16381525639541614</v>
      </c>
      <c r="U90" s="148"/>
      <c r="V90" s="40" t="e">
        <f t="shared" si="13"/>
        <v>#DIV/0!</v>
      </c>
    </row>
    <row r="91" spans="1:22" s="77" customFormat="1" ht="25.4" hidden="1" customHeight="1">
      <c r="A91" s="3" t="s">
        <v>200</v>
      </c>
      <c r="B91" s="3" t="s">
        <v>403</v>
      </c>
      <c r="C91" s="3"/>
      <c r="D91" s="26" t="s">
        <v>201</v>
      </c>
      <c r="E91" s="63">
        <f>'Lobby Lounge'!E68+'Fangfei Lounge'!E68+'Royal Court'!E68+'MP Cafe'!E68+'Pingju Zhuhai'!E68+'Room Service'!E68+Banquet!E69+Minibar!E56+STW!E44+'Main Kitchen'!E44+'F&amp;B Admin'!E44</f>
        <v>0</v>
      </c>
      <c r="F91" s="63">
        <f>'Lobby Lounge'!F68+'Fangfei Lounge'!F68+'Royal Court'!F68+'MP Cafe'!F68+'Pingju Zhuhai'!F68+'Room Service'!F68+Banquet!F69+Minibar!F56+STW!F44+'Main Kitchen'!F44+'F&amp;B Admin'!F44</f>
        <v>0</v>
      </c>
      <c r="G91" s="63">
        <f>'Lobby Lounge'!G68+'Fangfei Lounge'!G68+'Royal Court'!G68+'MP Cafe'!G68+'Pingju Zhuhai'!G68+'Room Service'!G68+Banquet!G69+Minibar!G56+STW!G44+'Main Kitchen'!G44+'F&amp;B Admin'!G44</f>
        <v>0</v>
      </c>
      <c r="H91" s="63">
        <f>'Lobby Lounge'!H68+'Fangfei Lounge'!H68+'Royal Court'!H68+'MP Cafe'!H68+'Pingju Zhuhai'!H68+'Room Service'!H68+Banquet!H69+Minibar!H56+STW!H44+'Main Kitchen'!H44+'F&amp;B Admin'!H44</f>
        <v>0</v>
      </c>
      <c r="I91" s="63">
        <f>'Lobby Lounge'!I68+'Fangfei Lounge'!I68+'Royal Court'!I68+'MP Cafe'!I68+'Pingju Zhuhai'!I68+'Room Service'!I68+Banquet!I69+Minibar!I56+STW!I44+'Main Kitchen'!I44+'F&amp;B Admin'!I44</f>
        <v>0</v>
      </c>
      <c r="J91" s="63">
        <f>'Lobby Lounge'!J68+'Fangfei Lounge'!J68+'Royal Court'!J68+'MP Cafe'!J68+'Pingju Zhuhai'!J68+'Room Service'!J68+Banquet!J69+Minibar!J56+STW!J44+'Main Kitchen'!J44+'F&amp;B Admin'!J44</f>
        <v>0</v>
      </c>
      <c r="K91" s="63">
        <f>'Lobby Lounge'!K68+'Fangfei Lounge'!K68+'Royal Court'!K68+'MP Cafe'!K68+'Pingju Zhuhai'!K68+'Room Service'!K68+Banquet!K69+Minibar!K56+STW!K44+'Main Kitchen'!K44+'F&amp;B Admin'!K44</f>
        <v>0</v>
      </c>
      <c r="L91" s="63">
        <f>'Lobby Lounge'!L68+'Fangfei Lounge'!L68+'Royal Court'!L68+'MP Cafe'!L68+'Pingju Zhuhai'!L68+'Room Service'!L68+Banquet!L69+Minibar!L56+STW!L44+'Main Kitchen'!L44+'F&amp;B Admin'!L44</f>
        <v>0</v>
      </c>
      <c r="M91" s="63">
        <f>'Lobby Lounge'!M68+'Fangfei Lounge'!M68+'Royal Court'!M68+'MP Cafe'!M68+'Pingju Zhuhai'!M68+'Room Service'!M68+Banquet!M69+Minibar!M56+STW!M44+'Main Kitchen'!M44+'F&amp;B Admin'!M44</f>
        <v>0</v>
      </c>
      <c r="N91" s="63">
        <f>'Lobby Lounge'!N68+'Fangfei Lounge'!N68+'Royal Court'!N68+'MP Cafe'!N68+'Pingju Zhuhai'!N68+'Room Service'!N68+Banquet!N69+Minibar!N56+STW!N44+'Main Kitchen'!N44+'F&amp;B Admin'!N44</f>
        <v>0</v>
      </c>
      <c r="O91" s="63">
        <f>'Lobby Lounge'!O68+'Fangfei Lounge'!O68+'Royal Court'!O68+'MP Cafe'!O68+'Pingju Zhuhai'!O68+'Room Service'!O68+Banquet!O69+Minibar!O56+STW!O44+'Main Kitchen'!O44+'F&amp;B Admin'!O44</f>
        <v>0</v>
      </c>
      <c r="P91" s="63">
        <f>'Lobby Lounge'!P68+'Fangfei Lounge'!P68+'Royal Court'!P68+'MP Cafe'!P68+'Pingju Zhuhai'!P68+'Room Service'!P68+Banquet!P69+Minibar!P56+STW!P44+'Main Kitchen'!P44+'F&amp;B Admin'!P44</f>
        <v>0</v>
      </c>
      <c r="Q91" s="134">
        <f t="shared" si="11"/>
        <v>0</v>
      </c>
      <c r="R91" s="134">
        <v>0</v>
      </c>
      <c r="S91" s="134">
        <f t="shared" si="12"/>
        <v>0</v>
      </c>
      <c r="U91" s="148"/>
      <c r="V91" s="40">
        <f t="shared" si="13"/>
        <v>0</v>
      </c>
    </row>
    <row r="92" spans="1:22" s="77" customFormat="1" ht="25.4" hidden="1" customHeight="1">
      <c r="A92" s="3" t="s">
        <v>202</v>
      </c>
      <c r="B92" s="3" t="s">
        <v>403</v>
      </c>
      <c r="C92" s="3"/>
      <c r="D92" s="26" t="s">
        <v>203</v>
      </c>
      <c r="E92" s="63">
        <f>'Lobby Lounge'!E69+'Fangfei Lounge'!E69+'Royal Court'!E69+'MP Cafe'!E69+'Pingju Zhuhai'!E69+'Room Service'!E69+Banquet!E70+Minibar!E57+STW!E45+'Main Kitchen'!E45+'F&amp;B Admin'!E45</f>
        <v>0</v>
      </c>
      <c r="F92" s="63">
        <f>'Lobby Lounge'!F69+'Fangfei Lounge'!F69+'Royal Court'!F69+'MP Cafe'!F69+'Pingju Zhuhai'!F69+'Room Service'!F69+Banquet!F70+Minibar!F57+STW!F45+'Main Kitchen'!F45+'F&amp;B Admin'!F45</f>
        <v>0</v>
      </c>
      <c r="G92" s="63">
        <f>'Lobby Lounge'!G69+'Fangfei Lounge'!G69+'Royal Court'!G69+'MP Cafe'!G69+'Pingju Zhuhai'!G69+'Room Service'!G69+Banquet!G70+Minibar!G57+STW!G45+'Main Kitchen'!G45+'F&amp;B Admin'!G45</f>
        <v>0</v>
      </c>
      <c r="H92" s="63">
        <f>'Lobby Lounge'!H69+'Fangfei Lounge'!H69+'Royal Court'!H69+'MP Cafe'!H69+'Pingju Zhuhai'!H69+'Room Service'!H69+Banquet!H70+Minibar!H57+STW!H45+'Main Kitchen'!H45+'F&amp;B Admin'!H45</f>
        <v>0</v>
      </c>
      <c r="I92" s="63">
        <f>'Lobby Lounge'!I69+'Fangfei Lounge'!I69+'Royal Court'!I69+'MP Cafe'!I69+'Pingju Zhuhai'!I69+'Room Service'!I69+Banquet!I70+Minibar!I57+STW!I45+'Main Kitchen'!I45+'F&amp;B Admin'!I45</f>
        <v>0</v>
      </c>
      <c r="J92" s="63">
        <f>'Lobby Lounge'!J69+'Fangfei Lounge'!J69+'Royal Court'!J69+'MP Cafe'!J69+'Pingju Zhuhai'!J69+'Room Service'!J69+Banquet!J70+Minibar!J57+STW!J45+'Main Kitchen'!J45+'F&amp;B Admin'!J45</f>
        <v>0</v>
      </c>
      <c r="K92" s="63">
        <f>'Lobby Lounge'!K69+'Fangfei Lounge'!K69+'Royal Court'!K69+'MP Cafe'!K69+'Pingju Zhuhai'!K69+'Room Service'!K69+Banquet!K70+Minibar!K57+STW!K45+'Main Kitchen'!K45+'F&amp;B Admin'!K45</f>
        <v>0</v>
      </c>
      <c r="L92" s="63">
        <f>'Lobby Lounge'!L69+'Fangfei Lounge'!L69+'Royal Court'!L69+'MP Cafe'!L69+'Pingju Zhuhai'!L69+'Room Service'!L69+Banquet!L70+Minibar!L57+STW!L45+'Main Kitchen'!L45+'F&amp;B Admin'!L45</f>
        <v>0</v>
      </c>
      <c r="M92" s="63">
        <f>'Lobby Lounge'!M69+'Fangfei Lounge'!M69+'Royal Court'!M69+'MP Cafe'!M69+'Pingju Zhuhai'!M69+'Room Service'!M69+Banquet!M70+Minibar!M57+STW!M45+'Main Kitchen'!M45+'F&amp;B Admin'!M45</f>
        <v>0</v>
      </c>
      <c r="N92" s="63">
        <f>'Lobby Lounge'!N69+'Fangfei Lounge'!N69+'Royal Court'!N69+'MP Cafe'!N69+'Pingju Zhuhai'!N69+'Room Service'!N69+Banquet!N70+Minibar!N57+STW!N45+'Main Kitchen'!N45+'F&amp;B Admin'!N45</f>
        <v>0</v>
      </c>
      <c r="O92" s="63">
        <f>'Lobby Lounge'!O69+'Fangfei Lounge'!O69+'Royal Court'!O69+'MP Cafe'!O69+'Pingju Zhuhai'!O69+'Room Service'!O69+Banquet!O70+Minibar!O57+STW!O45+'Main Kitchen'!O45+'F&amp;B Admin'!O45</f>
        <v>0</v>
      </c>
      <c r="P92" s="63">
        <f>'Lobby Lounge'!P69+'Fangfei Lounge'!P69+'Royal Court'!P69+'MP Cafe'!P69+'Pingju Zhuhai'!P69+'Room Service'!P69+Banquet!P70+Minibar!P57+STW!P45+'Main Kitchen'!P45+'F&amp;B Admin'!P45</f>
        <v>0</v>
      </c>
      <c r="Q92" s="134">
        <f t="shared" si="11"/>
        <v>0</v>
      </c>
      <c r="R92" s="134">
        <v>0</v>
      </c>
      <c r="S92" s="134">
        <f t="shared" si="12"/>
        <v>0</v>
      </c>
      <c r="U92" s="148"/>
      <c r="V92" s="40">
        <f t="shared" si="13"/>
        <v>0</v>
      </c>
    </row>
    <row r="93" spans="1:22" s="77" customFormat="1" ht="25.4" customHeight="1">
      <c r="A93" s="3" t="s">
        <v>204</v>
      </c>
      <c r="B93" s="3" t="s">
        <v>403</v>
      </c>
      <c r="C93" s="3"/>
      <c r="D93" s="26" t="s">
        <v>205</v>
      </c>
      <c r="E93" s="63">
        <f>'Lobby Lounge'!E70+'Fangfei Lounge'!E70+'Royal Court'!E70+'MP Cafe'!E70+'Pingju Zhuhai'!E70+'Room Service'!E70+Banquet!E71+Minibar!E58+STW!E46+'Main Kitchen'!E46+'F&amp;B Admin'!E46</f>
        <v>300</v>
      </c>
      <c r="F93" s="63">
        <f>'Lobby Lounge'!F70+'Fangfei Lounge'!F70+'Royal Court'!F70+'MP Cafe'!F70+'Pingju Zhuhai'!F70+'Room Service'!F70+Banquet!F71+Minibar!F58+STW!F46+'Main Kitchen'!F46+'F&amp;B Admin'!F46</f>
        <v>300</v>
      </c>
      <c r="G93" s="63">
        <f>'Lobby Lounge'!G70+'Fangfei Lounge'!G70+'Royal Court'!G70+'MP Cafe'!G70+'Pingju Zhuhai'!G70+'Room Service'!G70+Banquet!G71+Minibar!G58+STW!G46+'Main Kitchen'!G46+'F&amp;B Admin'!G46</f>
        <v>300</v>
      </c>
      <c r="H93" s="63">
        <f>'Lobby Lounge'!H70+'Fangfei Lounge'!H70+'Royal Court'!H70+'MP Cafe'!H70+'Pingju Zhuhai'!H70+'Room Service'!H70+Banquet!H71+Minibar!H58+STW!H46+'Main Kitchen'!H46+'F&amp;B Admin'!H46</f>
        <v>300</v>
      </c>
      <c r="I93" s="63">
        <f>'Lobby Lounge'!I70+'Fangfei Lounge'!I70+'Royal Court'!I70+'MP Cafe'!I70+'Pingju Zhuhai'!I70+'Room Service'!I70+Banquet!I71+Minibar!I58+STW!I46+'Main Kitchen'!I46+'F&amp;B Admin'!I46</f>
        <v>300</v>
      </c>
      <c r="J93" s="63">
        <f>'Lobby Lounge'!J70+'Fangfei Lounge'!J70+'Royal Court'!J70+'MP Cafe'!J70+'Pingju Zhuhai'!J70+'Room Service'!J70+Banquet!J71+Minibar!J58+STW!J46+'Main Kitchen'!J46+'F&amp;B Admin'!J46</f>
        <v>300</v>
      </c>
      <c r="K93" s="63">
        <f>'Lobby Lounge'!K70+'Fangfei Lounge'!K70+'Royal Court'!K70+'MP Cafe'!K70+'Pingju Zhuhai'!K70+'Room Service'!K70+Banquet!K71+Minibar!K58+STW!K46+'Main Kitchen'!K46+'F&amp;B Admin'!K46</f>
        <v>300</v>
      </c>
      <c r="L93" s="63">
        <f>'Lobby Lounge'!L70+'Fangfei Lounge'!L70+'Royal Court'!L70+'MP Cafe'!L70+'Pingju Zhuhai'!L70+'Room Service'!L70+Banquet!L71+Minibar!L58+STW!L46+'Main Kitchen'!L46+'F&amp;B Admin'!L46</f>
        <v>300</v>
      </c>
      <c r="M93" s="63">
        <f>'Lobby Lounge'!M70+'Fangfei Lounge'!M70+'Royal Court'!M70+'MP Cafe'!M70+'Pingju Zhuhai'!M70+'Room Service'!M70+Banquet!M71+Minibar!M58+STW!M46+'Main Kitchen'!M46+'F&amp;B Admin'!M46</f>
        <v>300</v>
      </c>
      <c r="N93" s="63">
        <f>'Lobby Lounge'!N70+'Fangfei Lounge'!N70+'Royal Court'!N70+'MP Cafe'!N70+'Pingju Zhuhai'!N70+'Room Service'!N70+Banquet!N71+Minibar!N58+STW!N46+'Main Kitchen'!N46+'F&amp;B Admin'!N46</f>
        <v>300</v>
      </c>
      <c r="O93" s="63">
        <f>'Lobby Lounge'!O70+'Fangfei Lounge'!O70+'Royal Court'!O70+'MP Cafe'!O70+'Pingju Zhuhai'!O70+'Room Service'!O70+Banquet!O71+Minibar!O58+STW!O46+'Main Kitchen'!O46+'F&amp;B Admin'!O46</f>
        <v>300</v>
      </c>
      <c r="P93" s="63">
        <f>'Lobby Lounge'!P70+'Fangfei Lounge'!P70+'Royal Court'!P70+'MP Cafe'!P70+'Pingju Zhuhai'!P70+'Room Service'!P70+Banquet!P71+Minibar!P58+STW!P46+'Main Kitchen'!P46+'F&amp;B Admin'!P46</f>
        <v>300</v>
      </c>
      <c r="Q93" s="134">
        <f t="shared" si="11"/>
        <v>3600</v>
      </c>
      <c r="R93" s="134">
        <v>20651.55</v>
      </c>
      <c r="S93" s="134">
        <f t="shared" si="12"/>
        <v>2.7780993170505846E-2</v>
      </c>
      <c r="U93" s="148"/>
      <c r="V93" s="40" t="e">
        <f t="shared" si="13"/>
        <v>#DIV/0!</v>
      </c>
    </row>
    <row r="94" spans="1:22" s="77" customFormat="1" ht="25.4" hidden="1" customHeight="1">
      <c r="A94" s="3" t="s">
        <v>206</v>
      </c>
      <c r="B94" s="3" t="s">
        <v>403</v>
      </c>
      <c r="C94" s="3"/>
      <c r="D94" s="26" t="s">
        <v>207</v>
      </c>
      <c r="E94" s="63">
        <f>'Lobby Lounge'!E71+'Fangfei Lounge'!E71+'Royal Court'!E71+'MP Cafe'!E71+'Pingju Zhuhai'!E71+'Room Service'!E71+Banquet!E72+Minibar!E59+STW!E47+'Main Kitchen'!E47+'F&amp;B Admin'!E47</f>
        <v>7720</v>
      </c>
      <c r="F94" s="63">
        <f>'Lobby Lounge'!F71+'Fangfei Lounge'!F71+'Royal Court'!F71+'MP Cafe'!F71+'Pingju Zhuhai'!F71+'Room Service'!F71+Banquet!F72+Minibar!F59+STW!F47+'Main Kitchen'!F47+'F&amp;B Admin'!F47</f>
        <v>7720</v>
      </c>
      <c r="G94" s="63">
        <f>'Lobby Lounge'!G71+'Fangfei Lounge'!G71+'Royal Court'!G71+'MP Cafe'!G71+'Pingju Zhuhai'!G71+'Room Service'!G71+Banquet!G72+Minibar!G59+STW!G47+'Main Kitchen'!G47+'F&amp;B Admin'!G47</f>
        <v>7720</v>
      </c>
      <c r="H94" s="63">
        <f>'Lobby Lounge'!H71+'Fangfei Lounge'!H71+'Royal Court'!H71+'MP Cafe'!H71+'Pingju Zhuhai'!H71+'Room Service'!H71+Banquet!H72+Minibar!H59+STW!H47+'Main Kitchen'!H47+'F&amp;B Admin'!H47</f>
        <v>7720</v>
      </c>
      <c r="I94" s="63">
        <f>'Lobby Lounge'!I71+'Fangfei Lounge'!I71+'Royal Court'!I71+'MP Cafe'!I71+'Pingju Zhuhai'!I71+'Room Service'!I71+Banquet!I72+Minibar!I59+STW!I47+'Main Kitchen'!I47+'F&amp;B Admin'!I47</f>
        <v>7720</v>
      </c>
      <c r="J94" s="63">
        <f>'Lobby Lounge'!J71+'Fangfei Lounge'!J71+'Royal Court'!J71+'MP Cafe'!J71+'Pingju Zhuhai'!J71+'Room Service'!J71+Banquet!J72+Minibar!J59+STW!J47+'Main Kitchen'!J47+'F&amp;B Admin'!J47</f>
        <v>8720</v>
      </c>
      <c r="K94" s="63">
        <f>'Lobby Lounge'!K71+'Fangfei Lounge'!K71+'Royal Court'!K71+'MP Cafe'!K71+'Pingju Zhuhai'!K71+'Room Service'!K71+Banquet!K72+Minibar!K59+STW!K47+'Main Kitchen'!K47+'F&amp;B Admin'!K47</f>
        <v>9665</v>
      </c>
      <c r="L94" s="63">
        <f>'Lobby Lounge'!L71+'Fangfei Lounge'!L71+'Royal Court'!L71+'MP Cafe'!L71+'Pingju Zhuhai'!L71+'Room Service'!L71+Banquet!L72+Minibar!L59+STW!L47+'Main Kitchen'!L47+'F&amp;B Admin'!L47</f>
        <v>9665</v>
      </c>
      <c r="M94" s="63">
        <f>'Lobby Lounge'!M71+'Fangfei Lounge'!M71+'Royal Court'!M71+'MP Cafe'!M71+'Pingju Zhuhai'!M71+'Room Service'!M71+Banquet!M72+Minibar!M59+STW!M47+'Main Kitchen'!M47+'F&amp;B Admin'!M47</f>
        <v>9570</v>
      </c>
      <c r="N94" s="63">
        <f>'Lobby Lounge'!N71+'Fangfei Lounge'!N71+'Royal Court'!N71+'MP Cafe'!N71+'Pingju Zhuhai'!N71+'Room Service'!N71+Banquet!N72+Minibar!N59+STW!N47+'Main Kitchen'!N47+'F&amp;B Admin'!N47</f>
        <v>9665</v>
      </c>
      <c r="O94" s="63">
        <f>'Lobby Lounge'!O71+'Fangfei Lounge'!O71+'Royal Court'!O71+'MP Cafe'!O71+'Pingju Zhuhai'!O71+'Room Service'!O71+Banquet!O72+Minibar!O59+STW!O47+'Main Kitchen'!O47+'F&amp;B Admin'!O47</f>
        <v>9570</v>
      </c>
      <c r="P94" s="63">
        <f>'Lobby Lounge'!P71+'Fangfei Lounge'!P71+'Royal Court'!P71+'MP Cafe'!P71+'Pingju Zhuhai'!P71+'Room Service'!P71+Banquet!P72+Minibar!P59+STW!P47+'Main Kitchen'!P47+'F&amp;B Admin'!P47</f>
        <v>9665</v>
      </c>
      <c r="Q94" s="134">
        <f t="shared" si="11"/>
        <v>105120</v>
      </c>
      <c r="R94" s="134">
        <v>16530.169999999998</v>
      </c>
      <c r="S94" s="134">
        <f t="shared" si="12"/>
        <v>0.81120500057877065</v>
      </c>
      <c r="U94" s="148"/>
      <c r="V94" s="40" t="e">
        <f t="shared" si="13"/>
        <v>#DIV/0!</v>
      </c>
    </row>
    <row r="95" spans="1:22" s="77" customFormat="1" ht="25.4" hidden="1" customHeight="1">
      <c r="A95" s="3" t="s">
        <v>208</v>
      </c>
      <c r="B95" s="3" t="s">
        <v>403</v>
      </c>
      <c r="C95" s="3"/>
      <c r="D95" s="26" t="s">
        <v>209</v>
      </c>
      <c r="E95" s="63">
        <f>'Lobby Lounge'!E72+'Fangfei Lounge'!E72+'Royal Court'!E72+'MP Cafe'!E72+'Pingju Zhuhai'!E72+'Room Service'!E72+Banquet!E73+Minibar!E60+STW!E48+'Main Kitchen'!E48+'F&amp;B Admin'!E48</f>
        <v>1200</v>
      </c>
      <c r="F95" s="63">
        <f>'Lobby Lounge'!F72+'Fangfei Lounge'!F72+'Royal Court'!F72+'MP Cafe'!F72+'Pingju Zhuhai'!F72+'Room Service'!F72+Banquet!F73+Minibar!F60+STW!F48+'Main Kitchen'!F48+'F&amp;B Admin'!F48</f>
        <v>1200</v>
      </c>
      <c r="G95" s="63">
        <f>'Lobby Lounge'!G72+'Fangfei Lounge'!G72+'Royal Court'!G72+'MP Cafe'!G72+'Pingju Zhuhai'!G72+'Room Service'!G72+Banquet!G73+Minibar!G60+STW!G48+'Main Kitchen'!G48+'F&amp;B Admin'!G48</f>
        <v>1200</v>
      </c>
      <c r="H95" s="63">
        <f>'Lobby Lounge'!H72+'Fangfei Lounge'!H72+'Royal Court'!H72+'MP Cafe'!H72+'Pingju Zhuhai'!H72+'Room Service'!H72+Banquet!H73+Minibar!H60+STW!H48+'Main Kitchen'!H48+'F&amp;B Admin'!H48</f>
        <v>1200</v>
      </c>
      <c r="I95" s="63">
        <f>'Lobby Lounge'!I72+'Fangfei Lounge'!I72+'Royal Court'!I72+'MP Cafe'!I72+'Pingju Zhuhai'!I72+'Room Service'!I72+Banquet!I73+Minibar!I60+STW!I48+'Main Kitchen'!I48+'F&amp;B Admin'!I48</f>
        <v>1200</v>
      </c>
      <c r="J95" s="63">
        <f>'Lobby Lounge'!J72+'Fangfei Lounge'!J72+'Royal Court'!J72+'MP Cafe'!J72+'Pingju Zhuhai'!J72+'Room Service'!J72+Banquet!J73+Minibar!J60+STW!J48+'Main Kitchen'!J48+'F&amp;B Admin'!J48</f>
        <v>1200</v>
      </c>
      <c r="K95" s="63">
        <f>'Lobby Lounge'!K72+'Fangfei Lounge'!K72+'Royal Court'!K72+'MP Cafe'!K72+'Pingju Zhuhai'!K72+'Room Service'!K72+Banquet!K73+Minibar!K60+STW!K48+'Main Kitchen'!K48+'F&amp;B Admin'!K48</f>
        <v>1200</v>
      </c>
      <c r="L95" s="63">
        <f>'Lobby Lounge'!L72+'Fangfei Lounge'!L72+'Royal Court'!L72+'MP Cafe'!L72+'Pingju Zhuhai'!L72+'Room Service'!L72+Banquet!L73+Minibar!L60+STW!L48+'Main Kitchen'!L48+'F&amp;B Admin'!L48</f>
        <v>1200</v>
      </c>
      <c r="M95" s="63">
        <f>'Lobby Lounge'!M72+'Fangfei Lounge'!M72+'Royal Court'!M72+'MP Cafe'!M72+'Pingju Zhuhai'!M72+'Room Service'!M72+Banquet!M73+Minibar!M60+STW!M48+'Main Kitchen'!M48+'F&amp;B Admin'!M48</f>
        <v>1200</v>
      </c>
      <c r="N95" s="63">
        <f>'Lobby Lounge'!N72+'Fangfei Lounge'!N72+'Royal Court'!N72+'MP Cafe'!N72+'Pingju Zhuhai'!N72+'Room Service'!N72+Banquet!N73+Minibar!N60+STW!N48+'Main Kitchen'!N48+'F&amp;B Admin'!N48</f>
        <v>1200</v>
      </c>
      <c r="O95" s="63">
        <f>'Lobby Lounge'!O72+'Fangfei Lounge'!O72+'Royal Court'!O72+'MP Cafe'!O72+'Pingju Zhuhai'!O72+'Room Service'!O72+Banquet!O73+Minibar!O60+STW!O48+'Main Kitchen'!O48+'F&amp;B Admin'!O48</f>
        <v>1200</v>
      </c>
      <c r="P95" s="63">
        <f>'Lobby Lounge'!P72+'Fangfei Lounge'!P72+'Royal Court'!P72+'MP Cafe'!P72+'Pingju Zhuhai'!P72+'Room Service'!P72+Banquet!P73+Minibar!P60+STW!P48+'Main Kitchen'!P48+'F&amp;B Admin'!P48</f>
        <v>1200</v>
      </c>
      <c r="Q95" s="134">
        <f t="shared" si="11"/>
        <v>14400</v>
      </c>
      <c r="R95" s="134">
        <v>0</v>
      </c>
      <c r="S95" s="134">
        <f t="shared" si="12"/>
        <v>0.11112397268202338</v>
      </c>
      <c r="U95" s="148"/>
      <c r="V95" s="40" t="e">
        <f t="shared" si="13"/>
        <v>#DIV/0!</v>
      </c>
    </row>
    <row r="96" spans="1:22" s="77" customFormat="1" ht="25.4" hidden="1" customHeight="1">
      <c r="A96" s="3" t="s">
        <v>210</v>
      </c>
      <c r="B96" s="3" t="s">
        <v>403</v>
      </c>
      <c r="C96" s="3"/>
      <c r="D96" s="26" t="s">
        <v>211</v>
      </c>
      <c r="E96" s="63">
        <f>'Lobby Lounge'!E73+'Fangfei Lounge'!E73+'Royal Court'!E73+'MP Cafe'!E73+'Pingju Zhuhai'!E73+'Room Service'!E73+Banquet!E74+Minibar!E61+STW!E49+'Main Kitchen'!E49+'F&amp;B Admin'!E49</f>
        <v>0</v>
      </c>
      <c r="F96" s="63">
        <f>'Lobby Lounge'!F73+'Fangfei Lounge'!F73+'Royal Court'!F73+'MP Cafe'!F73+'Pingju Zhuhai'!F73+'Room Service'!F73+Banquet!F74+Minibar!F61+STW!F49+'Main Kitchen'!F49+'F&amp;B Admin'!F49</f>
        <v>0</v>
      </c>
      <c r="G96" s="63">
        <f>'Lobby Lounge'!G73+'Fangfei Lounge'!G73+'Royal Court'!G73+'MP Cafe'!G73+'Pingju Zhuhai'!G73+'Room Service'!G73+Banquet!G74+Minibar!G61+STW!G49+'Main Kitchen'!G49+'F&amp;B Admin'!G49</f>
        <v>0</v>
      </c>
      <c r="H96" s="63">
        <f>'Lobby Lounge'!H73+'Fangfei Lounge'!H73+'Royal Court'!H73+'MP Cafe'!H73+'Pingju Zhuhai'!H73+'Room Service'!H73+Banquet!H74+Minibar!H61+STW!H49+'Main Kitchen'!H49+'F&amp;B Admin'!H49</f>
        <v>0</v>
      </c>
      <c r="I96" s="63">
        <f>'Lobby Lounge'!I73+'Fangfei Lounge'!I73+'Royal Court'!I73+'MP Cafe'!I73+'Pingju Zhuhai'!I73+'Room Service'!I73+Banquet!I74+Minibar!I61+STW!I49+'Main Kitchen'!I49+'F&amp;B Admin'!I49</f>
        <v>0</v>
      </c>
      <c r="J96" s="63">
        <f>'Lobby Lounge'!J73+'Fangfei Lounge'!J73+'Royal Court'!J73+'MP Cafe'!J73+'Pingju Zhuhai'!J73+'Room Service'!J73+Banquet!J74+Minibar!J61+STW!J49+'Main Kitchen'!J49+'F&amp;B Admin'!J49</f>
        <v>0</v>
      </c>
      <c r="K96" s="63">
        <f>'Lobby Lounge'!K73+'Fangfei Lounge'!K73+'Royal Court'!K73+'MP Cafe'!K73+'Pingju Zhuhai'!K73+'Room Service'!K73+Banquet!K74+Minibar!K61+STW!K49+'Main Kitchen'!K49+'F&amp;B Admin'!K49</f>
        <v>0</v>
      </c>
      <c r="L96" s="63">
        <f>'Lobby Lounge'!L73+'Fangfei Lounge'!L73+'Royal Court'!L73+'MP Cafe'!L73+'Pingju Zhuhai'!L73+'Room Service'!L73+Banquet!L74+Minibar!L61+STW!L49+'Main Kitchen'!L49+'F&amp;B Admin'!L49</f>
        <v>0</v>
      </c>
      <c r="M96" s="63">
        <f>'Lobby Lounge'!M73+'Fangfei Lounge'!M73+'Royal Court'!M73+'MP Cafe'!M73+'Pingju Zhuhai'!M73+'Room Service'!M73+Banquet!M74+Minibar!M61+STW!M49+'Main Kitchen'!M49+'F&amp;B Admin'!M49</f>
        <v>0</v>
      </c>
      <c r="N96" s="63">
        <f>'Lobby Lounge'!N73+'Fangfei Lounge'!N73+'Royal Court'!N73+'MP Cafe'!N73+'Pingju Zhuhai'!N73+'Room Service'!N73+Banquet!N74+Minibar!N61+STW!N49+'Main Kitchen'!N49+'F&amp;B Admin'!N49</f>
        <v>0</v>
      </c>
      <c r="O96" s="63">
        <f>'Lobby Lounge'!O73+'Fangfei Lounge'!O73+'Royal Court'!O73+'MP Cafe'!O73+'Pingju Zhuhai'!O73+'Room Service'!O73+Banquet!O74+Minibar!O61+STW!O49+'Main Kitchen'!O49+'F&amp;B Admin'!O49</f>
        <v>0</v>
      </c>
      <c r="P96" s="63">
        <f>'Lobby Lounge'!P73+'Fangfei Lounge'!P73+'Royal Court'!P73+'MP Cafe'!P73+'Pingju Zhuhai'!P73+'Room Service'!P73+Banquet!P74+Minibar!P61+STW!P49+'Main Kitchen'!P49+'F&amp;B Admin'!P49</f>
        <v>0</v>
      </c>
      <c r="Q96" s="134">
        <f t="shared" si="11"/>
        <v>0</v>
      </c>
      <c r="R96" s="134">
        <v>0</v>
      </c>
      <c r="S96" s="134">
        <f t="shared" si="12"/>
        <v>0</v>
      </c>
      <c r="U96" s="148"/>
      <c r="V96" s="40">
        <f t="shared" si="13"/>
        <v>0</v>
      </c>
    </row>
    <row r="97" spans="1:22" s="77" customFormat="1" ht="25.4" customHeight="1">
      <c r="A97" s="3" t="s">
        <v>212</v>
      </c>
      <c r="B97" s="3" t="s">
        <v>403</v>
      </c>
      <c r="C97" s="3"/>
      <c r="D97" s="26" t="s">
        <v>213</v>
      </c>
      <c r="E97" s="63">
        <f>'Lobby Lounge'!E74+'Fangfei Lounge'!E74+'Royal Court'!E74+'MP Cafe'!E74+'Pingju Zhuhai'!E74+'Room Service'!E74+Banquet!E75+Minibar!E62+STW!E50+'Main Kitchen'!E50+'F&amp;B Admin'!E50</f>
        <v>18025</v>
      </c>
      <c r="F97" s="63">
        <f>'Lobby Lounge'!F74+'Fangfei Lounge'!F74+'Royal Court'!F74+'MP Cafe'!F74+'Pingju Zhuhai'!F74+'Room Service'!F74+Banquet!F75+Minibar!F62+STW!F50+'Main Kitchen'!F50+'F&amp;B Admin'!F50</f>
        <v>9790</v>
      </c>
      <c r="G97" s="63">
        <f>'Lobby Lounge'!G74+'Fangfei Lounge'!G74+'Royal Court'!G74+'MP Cafe'!G74+'Pingju Zhuhai'!G74+'Room Service'!G74+Banquet!G75+Minibar!G62+STW!G50+'Main Kitchen'!G50+'F&amp;B Admin'!G50</f>
        <v>14965</v>
      </c>
      <c r="H97" s="63">
        <f>'Lobby Lounge'!H74+'Fangfei Lounge'!H74+'Royal Court'!H74+'MP Cafe'!H74+'Pingju Zhuhai'!H74+'Room Service'!H74+Banquet!H75+Minibar!H62+STW!H50+'Main Kitchen'!H50+'F&amp;B Admin'!H50</f>
        <v>13010</v>
      </c>
      <c r="I97" s="63">
        <f>'Lobby Lounge'!I74+'Fangfei Lounge'!I74+'Royal Court'!I74+'MP Cafe'!I74+'Pingju Zhuhai'!I74+'Room Service'!I74+Banquet!I75+Minibar!I62+STW!I50+'Main Kitchen'!I50+'F&amp;B Admin'!I50</f>
        <v>14275</v>
      </c>
      <c r="J97" s="63">
        <f>'Lobby Lounge'!J74+'Fangfei Lounge'!J74+'Royal Court'!J74+'MP Cafe'!J74+'Pingju Zhuhai'!J74+'Room Service'!J74+Banquet!J75+Minibar!J62+STW!J50+'Main Kitchen'!J50+'F&amp;B Admin'!J50</f>
        <v>14840</v>
      </c>
      <c r="K97" s="63">
        <f>'Lobby Lounge'!K74+'Fangfei Lounge'!K74+'Royal Court'!K74+'MP Cafe'!K74+'Pingju Zhuhai'!K74+'Room Service'!K74+Banquet!K75+Minibar!K62+STW!K50+'Main Kitchen'!K50+'F&amp;B Admin'!K50</f>
        <v>13945</v>
      </c>
      <c r="L97" s="63">
        <f>'Lobby Lounge'!L74+'Fangfei Lounge'!L74+'Royal Court'!L74+'MP Cafe'!L74+'Pingju Zhuhai'!L74+'Room Service'!L74+Banquet!L75+Minibar!L62+STW!L50+'Main Kitchen'!L50+'F&amp;B Admin'!L50</f>
        <v>12205</v>
      </c>
      <c r="M97" s="63">
        <f>'Lobby Lounge'!M74+'Fangfei Lounge'!M74+'Royal Court'!M74+'MP Cafe'!M74+'Pingju Zhuhai'!M74+'Room Service'!M74+Banquet!M75+Minibar!M62+STW!M50+'Main Kitchen'!M50+'F&amp;B Admin'!M50</f>
        <v>10880</v>
      </c>
      <c r="N97" s="63">
        <f>'Lobby Lounge'!N74+'Fangfei Lounge'!N74+'Royal Court'!N74+'MP Cafe'!N74+'Pingju Zhuhai'!N74+'Room Service'!N74+Banquet!N75+Minibar!N62+STW!N50+'Main Kitchen'!N50+'F&amp;B Admin'!N50</f>
        <v>18025</v>
      </c>
      <c r="O97" s="63">
        <f>'Lobby Lounge'!O74+'Fangfei Lounge'!O74+'Royal Court'!O74+'MP Cafe'!O74+'Pingju Zhuhai'!O74+'Room Service'!O74+Banquet!O75+Minibar!O62+STW!O50+'Main Kitchen'!O50+'F&amp;B Admin'!O50</f>
        <v>17810</v>
      </c>
      <c r="P97" s="63">
        <f>'Lobby Lounge'!P74+'Fangfei Lounge'!P74+'Royal Court'!P74+'MP Cafe'!P74+'Pingju Zhuhai'!P74+'Room Service'!P74+Banquet!P75+Minibar!P62+STW!P50+'Main Kitchen'!P50+'F&amp;B Admin'!P50</f>
        <v>16915</v>
      </c>
      <c r="Q97" s="134">
        <f t="shared" si="11"/>
        <v>174685</v>
      </c>
      <c r="R97" s="134">
        <v>147149.26999999999</v>
      </c>
      <c r="S97" s="134">
        <f t="shared" si="12"/>
        <v>1.3480341088860592</v>
      </c>
      <c r="U97" s="148"/>
      <c r="V97" s="40" t="e">
        <f t="shared" si="13"/>
        <v>#DIV/0!</v>
      </c>
    </row>
    <row r="98" spans="1:22" s="77" customFormat="1" ht="25.4" hidden="1" customHeight="1">
      <c r="A98" s="3" t="s">
        <v>214</v>
      </c>
      <c r="B98" s="3" t="s">
        <v>403</v>
      </c>
      <c r="C98" s="3"/>
      <c r="D98" s="26" t="s">
        <v>215</v>
      </c>
      <c r="E98" s="63">
        <f>'Lobby Lounge'!E75+'Fangfei Lounge'!E75+'Royal Court'!E75+'MP Cafe'!E75+'Pingju Zhuhai'!E75+'Room Service'!E75+Banquet!E76+Minibar!E63+STW!E51+'Main Kitchen'!E51+'F&amp;B Admin'!E51</f>
        <v>0</v>
      </c>
      <c r="F98" s="63">
        <f>'Lobby Lounge'!F75+'Fangfei Lounge'!F75+'Royal Court'!F75+'MP Cafe'!F75+'Pingju Zhuhai'!F75+'Room Service'!F75+Banquet!F76+Minibar!F63+STW!F51+'Main Kitchen'!F51+'F&amp;B Admin'!F51</f>
        <v>0</v>
      </c>
      <c r="G98" s="63">
        <f>'Lobby Lounge'!G75+'Fangfei Lounge'!G75+'Royal Court'!G75+'MP Cafe'!G75+'Pingju Zhuhai'!G75+'Room Service'!G75+Banquet!G76+Minibar!G63+STW!G51+'Main Kitchen'!G51+'F&amp;B Admin'!G51</f>
        <v>0</v>
      </c>
      <c r="H98" s="63">
        <f>'Lobby Lounge'!H75+'Fangfei Lounge'!H75+'Royal Court'!H75+'MP Cafe'!H75+'Pingju Zhuhai'!H75+'Room Service'!H75+Banquet!H76+Minibar!H63+STW!H51+'Main Kitchen'!H51+'F&amp;B Admin'!H51</f>
        <v>0</v>
      </c>
      <c r="I98" s="63">
        <f>'Lobby Lounge'!I75+'Fangfei Lounge'!I75+'Royal Court'!I75+'MP Cafe'!I75+'Pingju Zhuhai'!I75+'Room Service'!I75+Banquet!I76+Minibar!I63+STW!I51+'Main Kitchen'!I51+'F&amp;B Admin'!I51</f>
        <v>0</v>
      </c>
      <c r="J98" s="63">
        <f>'Lobby Lounge'!J75+'Fangfei Lounge'!J75+'Royal Court'!J75+'MP Cafe'!J75+'Pingju Zhuhai'!J75+'Room Service'!J75+Banquet!J76+Minibar!J63+STW!J51+'Main Kitchen'!J51+'F&amp;B Admin'!J51</f>
        <v>0</v>
      </c>
      <c r="K98" s="63">
        <f>'Lobby Lounge'!K75+'Fangfei Lounge'!K75+'Royal Court'!K75+'MP Cafe'!K75+'Pingju Zhuhai'!K75+'Room Service'!K75+Banquet!K76+Minibar!K63+STW!K51+'Main Kitchen'!K51+'F&amp;B Admin'!K51</f>
        <v>0</v>
      </c>
      <c r="L98" s="63">
        <f>'Lobby Lounge'!L75+'Fangfei Lounge'!L75+'Royal Court'!L75+'MP Cafe'!L75+'Pingju Zhuhai'!L75+'Room Service'!L75+Banquet!L76+Minibar!L63+STW!L51+'Main Kitchen'!L51+'F&amp;B Admin'!L51</f>
        <v>0</v>
      </c>
      <c r="M98" s="63">
        <f>'Lobby Lounge'!M75+'Fangfei Lounge'!M75+'Royal Court'!M75+'MP Cafe'!M75+'Pingju Zhuhai'!M75+'Room Service'!M75+Banquet!M76+Minibar!M63+STW!M51+'Main Kitchen'!M51+'F&amp;B Admin'!M51</f>
        <v>0</v>
      </c>
      <c r="N98" s="63">
        <f>'Lobby Lounge'!N75+'Fangfei Lounge'!N75+'Royal Court'!N75+'MP Cafe'!N75+'Pingju Zhuhai'!N75+'Room Service'!N75+Banquet!N76+Minibar!N63+STW!N51+'Main Kitchen'!N51+'F&amp;B Admin'!N51</f>
        <v>0</v>
      </c>
      <c r="O98" s="63">
        <f>'Lobby Lounge'!O75+'Fangfei Lounge'!O75+'Royal Court'!O75+'MP Cafe'!O75+'Pingju Zhuhai'!O75+'Room Service'!O75+Banquet!O76+Minibar!O63+STW!O51+'Main Kitchen'!O51+'F&amp;B Admin'!O51</f>
        <v>0</v>
      </c>
      <c r="P98" s="63">
        <f>'Lobby Lounge'!P75+'Fangfei Lounge'!P75+'Royal Court'!P75+'MP Cafe'!P75+'Pingju Zhuhai'!P75+'Room Service'!P75+Banquet!P76+Minibar!P63+STW!P51+'Main Kitchen'!P51+'F&amp;B Admin'!P51</f>
        <v>0</v>
      </c>
      <c r="Q98" s="134">
        <f t="shared" si="11"/>
        <v>0</v>
      </c>
      <c r="R98" s="134">
        <v>113805.24</v>
      </c>
      <c r="S98" s="134">
        <f t="shared" si="12"/>
        <v>0</v>
      </c>
      <c r="U98" s="148"/>
      <c r="V98" s="40">
        <f t="shared" si="13"/>
        <v>0</v>
      </c>
    </row>
    <row r="99" spans="1:22" s="77" customFormat="1" ht="25.4" hidden="1" customHeight="1">
      <c r="A99" s="3" t="s">
        <v>216</v>
      </c>
      <c r="B99" s="3" t="s">
        <v>403</v>
      </c>
      <c r="C99" s="3"/>
      <c r="D99" s="26" t="s">
        <v>217</v>
      </c>
      <c r="E99" s="63">
        <f>'Lobby Lounge'!E76+'Fangfei Lounge'!E76+'Royal Court'!E76+'MP Cafe'!E76+'Pingju Zhuhai'!E76+'Room Service'!E76+Banquet!E77+Minibar!E64+STW!E52+'Main Kitchen'!E52+'F&amp;B Admin'!E52</f>
        <v>0</v>
      </c>
      <c r="F99" s="63">
        <f>'Lobby Lounge'!F76+'Fangfei Lounge'!F76+'Royal Court'!F76+'MP Cafe'!F76+'Pingju Zhuhai'!F76+'Room Service'!F76+Banquet!F77+Minibar!F64+STW!F52+'Main Kitchen'!F52+'F&amp;B Admin'!F52</f>
        <v>0</v>
      </c>
      <c r="G99" s="63">
        <f>'Lobby Lounge'!G76+'Fangfei Lounge'!G76+'Royal Court'!G76+'MP Cafe'!G76+'Pingju Zhuhai'!G76+'Room Service'!G76+Banquet!G77+Minibar!G64+STW!G52+'Main Kitchen'!G52+'F&amp;B Admin'!G52</f>
        <v>0</v>
      </c>
      <c r="H99" s="63">
        <f>'Lobby Lounge'!H76+'Fangfei Lounge'!H76+'Royal Court'!H76+'MP Cafe'!H76+'Pingju Zhuhai'!H76+'Room Service'!H76+Banquet!H77+Minibar!H64+STW!H52+'Main Kitchen'!H52+'F&amp;B Admin'!H52</f>
        <v>0</v>
      </c>
      <c r="I99" s="63">
        <f>'Lobby Lounge'!I76+'Fangfei Lounge'!I76+'Royal Court'!I76+'MP Cafe'!I76+'Pingju Zhuhai'!I76+'Room Service'!I76+Banquet!I77+Minibar!I64+STW!I52+'Main Kitchen'!I52+'F&amp;B Admin'!I52</f>
        <v>0</v>
      </c>
      <c r="J99" s="63">
        <f>'Lobby Lounge'!J76+'Fangfei Lounge'!J76+'Royal Court'!J76+'MP Cafe'!J76+'Pingju Zhuhai'!J76+'Room Service'!J76+Banquet!J77+Minibar!J64+STW!J52+'Main Kitchen'!J52+'F&amp;B Admin'!J52</f>
        <v>0</v>
      </c>
      <c r="K99" s="63">
        <f>'Lobby Lounge'!K76+'Fangfei Lounge'!K76+'Royal Court'!K76+'MP Cafe'!K76+'Pingju Zhuhai'!K76+'Room Service'!K76+Banquet!K77+Minibar!K64+STW!K52+'Main Kitchen'!K52+'F&amp;B Admin'!K52</f>
        <v>0</v>
      </c>
      <c r="L99" s="63">
        <f>'Lobby Lounge'!L76+'Fangfei Lounge'!L76+'Royal Court'!L76+'MP Cafe'!L76+'Pingju Zhuhai'!L76+'Room Service'!L76+Banquet!L77+Minibar!L64+STW!L52+'Main Kitchen'!L52+'F&amp;B Admin'!L52</f>
        <v>0</v>
      </c>
      <c r="M99" s="63">
        <f>'Lobby Lounge'!M76+'Fangfei Lounge'!M76+'Royal Court'!M76+'MP Cafe'!M76+'Pingju Zhuhai'!M76+'Room Service'!M76+Banquet!M77+Minibar!M64+STW!M52+'Main Kitchen'!M52+'F&amp;B Admin'!M52</f>
        <v>0</v>
      </c>
      <c r="N99" s="63">
        <f>'Lobby Lounge'!N76+'Fangfei Lounge'!N76+'Royal Court'!N76+'MP Cafe'!N76+'Pingju Zhuhai'!N76+'Room Service'!N76+Banquet!N77+Minibar!N64+STW!N52+'Main Kitchen'!N52+'F&amp;B Admin'!N52</f>
        <v>0</v>
      </c>
      <c r="O99" s="63">
        <f>'Lobby Lounge'!O76+'Fangfei Lounge'!O76+'Royal Court'!O76+'MP Cafe'!O76+'Pingju Zhuhai'!O76+'Room Service'!O76+Banquet!O77+Minibar!O64+STW!O52+'Main Kitchen'!O52+'F&amp;B Admin'!O52</f>
        <v>0</v>
      </c>
      <c r="P99" s="63">
        <f>'Lobby Lounge'!P76+'Fangfei Lounge'!P76+'Royal Court'!P76+'MP Cafe'!P76+'Pingju Zhuhai'!P76+'Room Service'!P76+Banquet!P77+Minibar!P64+STW!P52+'Main Kitchen'!P52+'F&amp;B Admin'!P52</f>
        <v>0</v>
      </c>
      <c r="Q99" s="134">
        <f t="shared" si="11"/>
        <v>0</v>
      </c>
      <c r="R99" s="134">
        <v>46847.13</v>
      </c>
      <c r="S99" s="134">
        <f t="shared" si="12"/>
        <v>0</v>
      </c>
      <c r="U99" s="148"/>
      <c r="V99" s="40"/>
    </row>
    <row r="100" spans="1:22" s="77" customFormat="1" ht="25.4" customHeight="1">
      <c r="A100" s="3" t="s">
        <v>218</v>
      </c>
      <c r="B100" s="3" t="s">
        <v>403</v>
      </c>
      <c r="C100" s="3"/>
      <c r="D100" s="26" t="s">
        <v>219</v>
      </c>
      <c r="E100" s="63">
        <f>'Lobby Lounge'!E77+'Fangfei Lounge'!E77+'Royal Court'!E77+'MP Cafe'!E77+'Pingju Zhuhai'!E77+'Room Service'!E77+Banquet!E78+Minibar!E65+STW!E53+'Main Kitchen'!E53+'F&amp;B Admin'!E53</f>
        <v>13160.5</v>
      </c>
      <c r="F100" s="63">
        <f>'Lobby Lounge'!F77+'Fangfei Lounge'!F77+'Royal Court'!F77+'MP Cafe'!F77+'Pingju Zhuhai'!F77+'Room Service'!F77+Banquet!F78+Minibar!F65+STW!F53+'Main Kitchen'!F53+'F&amp;B Admin'!F53</f>
        <v>12434</v>
      </c>
      <c r="G100" s="63">
        <f>'Lobby Lounge'!G77+'Fangfei Lounge'!G77+'Royal Court'!G77+'MP Cafe'!G77+'Pingju Zhuhai'!G77+'Room Service'!G77+Banquet!G78+Minibar!G65+STW!G53+'Main Kitchen'!G53+'F&amp;B Admin'!G53</f>
        <v>13307.5</v>
      </c>
      <c r="H100" s="63">
        <f>'Lobby Lounge'!H77+'Fangfei Lounge'!H77+'Royal Court'!H77+'MP Cafe'!H77+'Pingju Zhuhai'!H77+'Room Service'!H77+Banquet!H78+Minibar!H65+STW!H53+'Main Kitchen'!H53+'F&amp;B Admin'!H53</f>
        <v>12679</v>
      </c>
      <c r="I100" s="63">
        <f>'Lobby Lounge'!I77+'Fangfei Lounge'!I77+'Royal Court'!I77+'MP Cafe'!I77+'Pingju Zhuhai'!I77+'Room Service'!I77+Banquet!I78+Minibar!I65+STW!I53+'Main Kitchen'!I53+'F&amp;B Admin'!I53</f>
        <v>13546.5</v>
      </c>
      <c r="J100" s="63">
        <f>'Lobby Lounge'!J77+'Fangfei Lounge'!J77+'Royal Court'!J77+'MP Cafe'!J77+'Pingju Zhuhai'!J77+'Room Service'!J77+Banquet!J78+Minibar!J65+STW!J53+'Main Kitchen'!J53+'F&amp;B Admin'!J53</f>
        <v>13232</v>
      </c>
      <c r="K100" s="63">
        <f>'Lobby Lounge'!K77+'Fangfei Lounge'!K77+'Royal Court'!K77+'MP Cafe'!K77+'Pingju Zhuhai'!K77+'Room Service'!K77+Banquet!K78+Minibar!K65+STW!K53+'Main Kitchen'!K53+'F&amp;B Admin'!K53</f>
        <v>16116.5</v>
      </c>
      <c r="L100" s="63">
        <f>'Lobby Lounge'!L77+'Fangfei Lounge'!L77+'Royal Court'!L77+'MP Cafe'!L77+'Pingju Zhuhai'!L77+'Room Service'!L77+Banquet!L78+Minibar!L65+STW!L53+'Main Kitchen'!L53+'F&amp;B Admin'!L53</f>
        <v>15786.5</v>
      </c>
      <c r="M100" s="63">
        <f>'Lobby Lounge'!M77+'Fangfei Lounge'!M77+'Royal Court'!M77+'MP Cafe'!M77+'Pingju Zhuhai'!M77+'Room Service'!M77+Banquet!M78+Minibar!M65+STW!M53+'Main Kitchen'!M53+'F&amp;B Admin'!M53</f>
        <v>11244</v>
      </c>
      <c r="N100" s="63">
        <f>'Lobby Lounge'!N77+'Fangfei Lounge'!N77+'Royal Court'!N77+'MP Cafe'!N77+'Pingju Zhuhai'!N77+'Room Service'!N77+Banquet!N78+Minibar!N65+STW!N53+'Main Kitchen'!N53+'F&amp;B Admin'!N53</f>
        <v>15962.5</v>
      </c>
      <c r="O100" s="63">
        <f>'Lobby Lounge'!O77+'Fangfei Lounge'!O77+'Royal Court'!O77+'MP Cafe'!O77+'Pingju Zhuhai'!O77+'Room Service'!O77+Banquet!O78+Minibar!O65+STW!O53+'Main Kitchen'!O53+'F&amp;B Admin'!O53</f>
        <v>15473</v>
      </c>
      <c r="P100" s="63">
        <f>'Lobby Lounge'!P77+'Fangfei Lounge'!P77+'Royal Court'!P77+'MP Cafe'!P77+'Pingju Zhuhai'!P77+'Room Service'!P77+Banquet!P78+Minibar!P65+STW!P53+'Main Kitchen'!P53+'F&amp;B Admin'!P53</f>
        <v>15922.5</v>
      </c>
      <c r="Q100" s="134">
        <f t="shared" si="11"/>
        <v>168864.5</v>
      </c>
      <c r="R100" s="134">
        <v>41866.32</v>
      </c>
      <c r="S100" s="134">
        <f t="shared" si="12"/>
        <v>1.3031176447891346</v>
      </c>
      <c r="U100" s="148"/>
      <c r="V100" s="40" t="e">
        <f t="shared" si="13"/>
        <v>#DIV/0!</v>
      </c>
    </row>
    <row r="101" spans="1:22" s="77" customFormat="1" ht="25.4" customHeight="1">
      <c r="A101" s="3" t="s">
        <v>220</v>
      </c>
      <c r="B101" s="3" t="s">
        <v>403</v>
      </c>
      <c r="C101" s="3"/>
      <c r="D101" s="26" t="s">
        <v>221</v>
      </c>
      <c r="E101" s="63">
        <f>'Lobby Lounge'!E78+'Fangfei Lounge'!E78+'Royal Court'!E78+'MP Cafe'!E78+'Pingju Zhuhai'!E78+'Room Service'!E78+Banquet!E79+Minibar!E66+STW!E54+'Main Kitchen'!E54+'F&amp;B Admin'!E54</f>
        <v>0</v>
      </c>
      <c r="F101" s="63">
        <f>'Lobby Lounge'!F78+'Fangfei Lounge'!F78+'Royal Court'!F78+'MP Cafe'!F78+'Pingju Zhuhai'!F78+'Room Service'!F78+Banquet!F79+Minibar!F66+STW!F54+'Main Kitchen'!F54+'F&amp;B Admin'!F54</f>
        <v>0</v>
      </c>
      <c r="G101" s="63">
        <f>'Lobby Lounge'!G78+'Fangfei Lounge'!G78+'Royal Court'!G78+'MP Cafe'!G78+'Pingju Zhuhai'!G78+'Room Service'!G78+Banquet!G79+Minibar!G66+STW!G54+'Main Kitchen'!G54+'F&amp;B Admin'!G54</f>
        <v>0</v>
      </c>
      <c r="H101" s="63">
        <f>'Lobby Lounge'!H78+'Fangfei Lounge'!H78+'Royal Court'!H78+'MP Cafe'!H78+'Pingju Zhuhai'!H78+'Room Service'!H78+Banquet!H79+Minibar!H66+STW!H54+'Main Kitchen'!H54+'F&amp;B Admin'!H54</f>
        <v>0</v>
      </c>
      <c r="I101" s="63">
        <f>'Lobby Lounge'!I78+'Fangfei Lounge'!I78+'Royal Court'!I78+'MP Cafe'!I78+'Pingju Zhuhai'!I78+'Room Service'!I78+Banquet!I79+Minibar!I66+STW!I54+'Main Kitchen'!I54+'F&amp;B Admin'!I54</f>
        <v>0</v>
      </c>
      <c r="J101" s="63">
        <f>'Lobby Lounge'!J78+'Fangfei Lounge'!J78+'Royal Court'!J78+'MP Cafe'!J78+'Pingju Zhuhai'!J78+'Room Service'!J78+Banquet!J79+Minibar!J66+STW!J54+'Main Kitchen'!J54+'F&amp;B Admin'!J54</f>
        <v>0</v>
      </c>
      <c r="K101" s="63">
        <f>'Lobby Lounge'!K78+'Fangfei Lounge'!K78+'Royal Court'!K78+'MP Cafe'!K78+'Pingju Zhuhai'!K78+'Room Service'!K78+Banquet!K79+Minibar!K66+STW!K54+'Main Kitchen'!K54+'F&amp;B Admin'!K54</f>
        <v>0</v>
      </c>
      <c r="L101" s="63">
        <f>'Lobby Lounge'!L78+'Fangfei Lounge'!L78+'Royal Court'!L78+'MP Cafe'!L78+'Pingju Zhuhai'!L78+'Room Service'!L78+Banquet!L79+Minibar!L66+STW!L54+'Main Kitchen'!L54+'F&amp;B Admin'!L54</f>
        <v>0</v>
      </c>
      <c r="M101" s="63">
        <f>'Lobby Lounge'!M78+'Fangfei Lounge'!M78+'Royal Court'!M78+'MP Cafe'!M78+'Pingju Zhuhai'!M78+'Room Service'!M78+Banquet!M79+Minibar!M66+STW!M54+'Main Kitchen'!M54+'F&amp;B Admin'!M54</f>
        <v>0</v>
      </c>
      <c r="N101" s="63">
        <f>'Lobby Lounge'!N78+'Fangfei Lounge'!N78+'Royal Court'!N78+'MP Cafe'!N78+'Pingju Zhuhai'!N78+'Room Service'!N78+Banquet!N79+Minibar!N66+STW!N54+'Main Kitchen'!N54+'F&amp;B Admin'!N54</f>
        <v>0</v>
      </c>
      <c r="O101" s="63">
        <f>'Lobby Lounge'!O78+'Fangfei Lounge'!O78+'Royal Court'!O78+'MP Cafe'!O78+'Pingju Zhuhai'!O78+'Room Service'!O78+Banquet!O79+Minibar!O66+STW!O54+'Main Kitchen'!O54+'F&amp;B Admin'!O54</f>
        <v>0</v>
      </c>
      <c r="P101" s="63">
        <f>'Lobby Lounge'!P78+'Fangfei Lounge'!P78+'Royal Court'!P78+'MP Cafe'!P78+'Pingju Zhuhai'!P78+'Room Service'!P78+Banquet!P79+Minibar!P66+STW!P54+'Main Kitchen'!P54+'F&amp;B Admin'!P54</f>
        <v>0</v>
      </c>
      <c r="Q101" s="134">
        <f t="shared" si="11"/>
        <v>0</v>
      </c>
      <c r="R101" s="134">
        <v>10867.18</v>
      </c>
      <c r="S101" s="134">
        <f t="shared" si="12"/>
        <v>0</v>
      </c>
      <c r="U101" s="148"/>
      <c r="V101" s="40">
        <f t="shared" si="13"/>
        <v>0</v>
      </c>
    </row>
    <row r="102" spans="1:22" s="77" customFormat="1" ht="24.65" hidden="1" customHeight="1">
      <c r="A102" s="3" t="s">
        <v>222</v>
      </c>
      <c r="B102" s="3" t="s">
        <v>403</v>
      </c>
      <c r="C102" s="3"/>
      <c r="D102" s="26" t="s">
        <v>223</v>
      </c>
      <c r="E102" s="63">
        <f>'Lobby Lounge'!E79+'Fangfei Lounge'!E79+'Royal Court'!E79+'MP Cafe'!E79+'Pingju Zhuhai'!E79+'Room Service'!E79+Banquet!E80+Minibar!E67+STW!E55+'Main Kitchen'!E55+'F&amp;B Admin'!E55</f>
        <v>0</v>
      </c>
      <c r="F102" s="63">
        <f>'Lobby Lounge'!F79+'Fangfei Lounge'!F79+'Royal Court'!F79+'MP Cafe'!F79+'Pingju Zhuhai'!F79+'Room Service'!F79+Banquet!F80+Minibar!F67+STW!F55+'Main Kitchen'!F55+'F&amp;B Admin'!F55</f>
        <v>0</v>
      </c>
      <c r="G102" s="63">
        <f>'Lobby Lounge'!G79+'Fangfei Lounge'!G79+'Royal Court'!G79+'MP Cafe'!G79+'Pingju Zhuhai'!G79+'Room Service'!G79+Banquet!G80+Minibar!G67+STW!G55+'Main Kitchen'!G55+'F&amp;B Admin'!G55</f>
        <v>0</v>
      </c>
      <c r="H102" s="63">
        <f>'Lobby Lounge'!H79+'Fangfei Lounge'!H79+'Royal Court'!H79+'MP Cafe'!H79+'Pingju Zhuhai'!H79+'Room Service'!H79+Banquet!H80+Minibar!H67+STW!H55+'Main Kitchen'!H55+'F&amp;B Admin'!H55</f>
        <v>0</v>
      </c>
      <c r="I102" s="63">
        <f>'Lobby Lounge'!I79+'Fangfei Lounge'!I79+'Royal Court'!I79+'MP Cafe'!I79+'Pingju Zhuhai'!I79+'Room Service'!I79+Banquet!I80+Minibar!I67+STW!I55+'Main Kitchen'!I55+'F&amp;B Admin'!I55</f>
        <v>0</v>
      </c>
      <c r="J102" s="63">
        <f>'Lobby Lounge'!J79+'Fangfei Lounge'!J79+'Royal Court'!J79+'MP Cafe'!J79+'Pingju Zhuhai'!J79+'Room Service'!J79+Banquet!J80+Minibar!J67+STW!J55+'Main Kitchen'!J55+'F&amp;B Admin'!J55</f>
        <v>0</v>
      </c>
      <c r="K102" s="63">
        <f>'Lobby Lounge'!K79+'Fangfei Lounge'!K79+'Royal Court'!K79+'MP Cafe'!K79+'Pingju Zhuhai'!K79+'Room Service'!K79+Banquet!K80+Minibar!K67+STW!K55+'Main Kitchen'!K55+'F&amp;B Admin'!K55</f>
        <v>0</v>
      </c>
      <c r="L102" s="63">
        <f>'Lobby Lounge'!L79+'Fangfei Lounge'!L79+'Royal Court'!L79+'MP Cafe'!L79+'Pingju Zhuhai'!L79+'Room Service'!L79+Banquet!L80+Minibar!L67+STW!L55+'Main Kitchen'!L55+'F&amp;B Admin'!L55</f>
        <v>0</v>
      </c>
      <c r="M102" s="63">
        <f>'Lobby Lounge'!M79+'Fangfei Lounge'!M79+'Royal Court'!M79+'MP Cafe'!M79+'Pingju Zhuhai'!M79+'Room Service'!M79+Banquet!M80+Minibar!M67+STW!M55+'Main Kitchen'!M55+'F&amp;B Admin'!M55</f>
        <v>0</v>
      </c>
      <c r="N102" s="63">
        <f>'Lobby Lounge'!N79+'Fangfei Lounge'!N79+'Royal Court'!N79+'MP Cafe'!N79+'Pingju Zhuhai'!N79+'Room Service'!N79+Banquet!N80+Minibar!N67+STW!N55+'Main Kitchen'!N55+'F&amp;B Admin'!N55</f>
        <v>0</v>
      </c>
      <c r="O102" s="63">
        <f>'Lobby Lounge'!O79+'Fangfei Lounge'!O79+'Royal Court'!O79+'MP Cafe'!O79+'Pingju Zhuhai'!O79+'Room Service'!O79+Banquet!O80+Minibar!O67+STW!O55+'Main Kitchen'!O55+'F&amp;B Admin'!O55</f>
        <v>0</v>
      </c>
      <c r="P102" s="63">
        <f>'Lobby Lounge'!P79+'Fangfei Lounge'!P79+'Royal Court'!P79+'MP Cafe'!P79+'Pingju Zhuhai'!P79+'Room Service'!P79+Banquet!P80+Minibar!P67+STW!P55+'Main Kitchen'!P55+'F&amp;B Admin'!P55</f>
        <v>0</v>
      </c>
      <c r="Q102" s="134">
        <f t="shared" si="11"/>
        <v>0</v>
      </c>
      <c r="R102" s="134">
        <v>0</v>
      </c>
      <c r="S102" s="134">
        <f t="shared" si="12"/>
        <v>0</v>
      </c>
      <c r="U102" s="148"/>
      <c r="V102" s="40">
        <f t="shared" si="13"/>
        <v>0</v>
      </c>
    </row>
    <row r="103" spans="1:22" s="77" customFormat="1" ht="25.4" hidden="1" customHeight="1">
      <c r="A103" s="3" t="s">
        <v>224</v>
      </c>
      <c r="B103" s="3" t="s">
        <v>403</v>
      </c>
      <c r="C103" s="3"/>
      <c r="D103" s="26" t="s">
        <v>225</v>
      </c>
      <c r="E103" s="63">
        <f>'Lobby Lounge'!E80+'Fangfei Lounge'!E80+'Royal Court'!E80+'MP Cafe'!E80+'Pingju Zhuhai'!E80+'Room Service'!E80+Banquet!E81+Minibar!E68+STW!E56+'Main Kitchen'!E56+'F&amp;B Admin'!E56</f>
        <v>0</v>
      </c>
      <c r="F103" s="63">
        <f>'Lobby Lounge'!F80+'Fangfei Lounge'!F80+'Royal Court'!F80+'MP Cafe'!F80+'Pingju Zhuhai'!F80+'Room Service'!F80+Banquet!F81+Minibar!F68+STW!F56+'Main Kitchen'!F56+'F&amp;B Admin'!F56</f>
        <v>0</v>
      </c>
      <c r="G103" s="63">
        <f>'Lobby Lounge'!G80+'Fangfei Lounge'!G80+'Royal Court'!G80+'MP Cafe'!G80+'Pingju Zhuhai'!G80+'Room Service'!G80+Banquet!G81+Minibar!G68+STW!G56+'Main Kitchen'!G56+'F&amp;B Admin'!G56</f>
        <v>0</v>
      </c>
      <c r="H103" s="63">
        <f>'Lobby Lounge'!H80+'Fangfei Lounge'!H80+'Royal Court'!H80+'MP Cafe'!H80+'Pingju Zhuhai'!H80+'Room Service'!H80+Banquet!H81+Minibar!H68+STW!H56+'Main Kitchen'!H56+'F&amp;B Admin'!H56</f>
        <v>4320</v>
      </c>
      <c r="I103" s="63">
        <f>'Lobby Lounge'!I80+'Fangfei Lounge'!I80+'Royal Court'!I80+'MP Cafe'!I80+'Pingju Zhuhai'!I80+'Room Service'!I80+Banquet!I81+Minibar!I68+STW!I56+'Main Kitchen'!I56+'F&amp;B Admin'!I56</f>
        <v>5880</v>
      </c>
      <c r="J103" s="63">
        <f>'Lobby Lounge'!J80+'Fangfei Lounge'!J80+'Royal Court'!J80+'MP Cafe'!J80+'Pingju Zhuhai'!J80+'Room Service'!J80+Banquet!J81+Minibar!J68+STW!J56+'Main Kitchen'!J56+'F&amp;B Admin'!J56</f>
        <v>6760</v>
      </c>
      <c r="K103" s="63">
        <f>'Lobby Lounge'!K80+'Fangfei Lounge'!K80+'Royal Court'!K80+'MP Cafe'!K80+'Pingju Zhuhai'!K80+'Room Service'!K80+Banquet!K81+Minibar!K68+STW!K56+'Main Kitchen'!K56+'F&amp;B Admin'!K56</f>
        <v>0</v>
      </c>
      <c r="L103" s="63">
        <f>'Lobby Lounge'!L80+'Fangfei Lounge'!L80+'Royal Court'!L80+'MP Cafe'!L80+'Pingju Zhuhai'!L80+'Room Service'!L80+Banquet!L81+Minibar!L68+STW!L56+'Main Kitchen'!L56+'F&amp;B Admin'!L56</f>
        <v>0</v>
      </c>
      <c r="M103" s="63">
        <f>'Lobby Lounge'!M80+'Fangfei Lounge'!M80+'Royal Court'!M80+'MP Cafe'!M80+'Pingju Zhuhai'!M80+'Room Service'!M80+Banquet!M81+Minibar!M68+STW!M56+'Main Kitchen'!M56+'F&amp;B Admin'!M56</f>
        <v>0</v>
      </c>
      <c r="N103" s="63">
        <f>'Lobby Lounge'!N80+'Fangfei Lounge'!N80+'Royal Court'!N80+'MP Cafe'!N80+'Pingju Zhuhai'!N80+'Room Service'!N80+Banquet!N81+Minibar!N68+STW!N56+'Main Kitchen'!N56+'F&amp;B Admin'!N56</f>
        <v>8160</v>
      </c>
      <c r="O103" s="63">
        <f>'Lobby Lounge'!O80+'Fangfei Lounge'!O80+'Royal Court'!O80+'MP Cafe'!O80+'Pingju Zhuhai'!O80+'Room Service'!O80+Banquet!O81+Minibar!O68+STW!O56+'Main Kitchen'!O56+'F&amp;B Admin'!O56</f>
        <v>8040</v>
      </c>
      <c r="P103" s="63">
        <f>'Lobby Lounge'!P80+'Fangfei Lounge'!P80+'Royal Court'!P80+'MP Cafe'!P80+'Pingju Zhuhai'!P80+'Room Service'!P80+Banquet!P81+Minibar!P68+STW!P56+'Main Kitchen'!P56+'F&amp;B Admin'!P56</f>
        <v>7050</v>
      </c>
      <c r="Q103" s="134">
        <f t="shared" si="11"/>
        <v>40210</v>
      </c>
      <c r="R103" s="134">
        <v>0</v>
      </c>
      <c r="S103" s="134">
        <f t="shared" si="12"/>
        <v>0.31029825982945558</v>
      </c>
      <c r="U103" s="148"/>
      <c r="V103" s="40" t="e">
        <f t="shared" si="13"/>
        <v>#DIV/0!</v>
      </c>
    </row>
    <row r="104" spans="1:22" s="77" customFormat="1" ht="25.4" customHeight="1">
      <c r="A104" s="3" t="s">
        <v>226</v>
      </c>
      <c r="B104" s="3" t="s">
        <v>403</v>
      </c>
      <c r="C104" s="3"/>
      <c r="D104" s="26" t="s">
        <v>227</v>
      </c>
      <c r="E104" s="63">
        <f>'Lobby Lounge'!E81+'Fangfei Lounge'!E81+'Royal Court'!E81+'MP Cafe'!E81+'Pingju Zhuhai'!E81+'Room Service'!E81+Banquet!E82+Minibar!E69+STW!E57+'Main Kitchen'!E57+'F&amp;B Admin'!E57</f>
        <v>4805</v>
      </c>
      <c r="F104" s="63">
        <f>'Lobby Lounge'!F81+'Fangfei Lounge'!F81+'Royal Court'!F81+'MP Cafe'!F81+'Pingju Zhuhai'!F81+'Room Service'!F81+Banquet!F82+Minibar!F69+STW!F57+'Main Kitchen'!F57+'F&amp;B Admin'!F57</f>
        <v>4520</v>
      </c>
      <c r="G104" s="63">
        <f>'Lobby Lounge'!G81+'Fangfei Lounge'!G81+'Royal Court'!G81+'MP Cafe'!G81+'Pingju Zhuhai'!G81+'Room Service'!G81+Banquet!G82+Minibar!G69+STW!G57+'Main Kitchen'!G57+'F&amp;B Admin'!G57</f>
        <v>4805</v>
      </c>
      <c r="H104" s="63">
        <f>'Lobby Lounge'!H81+'Fangfei Lounge'!H81+'Royal Court'!H81+'MP Cafe'!H81+'Pingju Zhuhai'!H81+'Room Service'!H81+Banquet!H82+Minibar!H69+STW!H57+'Main Kitchen'!H57+'F&amp;B Admin'!H57</f>
        <v>4710</v>
      </c>
      <c r="I104" s="63">
        <f>'Lobby Lounge'!I81+'Fangfei Lounge'!I81+'Royal Court'!I81+'MP Cafe'!I81+'Pingju Zhuhai'!I81+'Room Service'!I81+Banquet!I82+Minibar!I69+STW!I57+'Main Kitchen'!I57+'F&amp;B Admin'!I57</f>
        <v>4805</v>
      </c>
      <c r="J104" s="63">
        <f>'Lobby Lounge'!J81+'Fangfei Lounge'!J81+'Royal Court'!J81+'MP Cafe'!J81+'Pingju Zhuhai'!J81+'Room Service'!J81+Banquet!J82+Minibar!J69+STW!J57+'Main Kitchen'!J57+'F&amp;B Admin'!J57</f>
        <v>4710</v>
      </c>
      <c r="K104" s="63">
        <f>'Lobby Lounge'!K81+'Fangfei Lounge'!K81+'Royal Court'!K81+'MP Cafe'!K81+'Pingju Zhuhai'!K81+'Room Service'!K81+Banquet!K82+Minibar!K69+STW!K57+'Main Kitchen'!K57+'F&amp;B Admin'!K57</f>
        <v>4805</v>
      </c>
      <c r="L104" s="63">
        <f>'Lobby Lounge'!L81+'Fangfei Lounge'!L81+'Royal Court'!L81+'MP Cafe'!L81+'Pingju Zhuhai'!L81+'Room Service'!L81+Banquet!L82+Minibar!L69+STW!L57+'Main Kitchen'!L57+'F&amp;B Admin'!L57</f>
        <v>4805</v>
      </c>
      <c r="M104" s="63">
        <f>'Lobby Lounge'!M81+'Fangfei Lounge'!M81+'Royal Court'!M81+'MP Cafe'!M81+'Pingju Zhuhai'!M81+'Room Service'!M81+Banquet!M82+Minibar!M69+STW!M57+'Main Kitchen'!M57+'F&amp;B Admin'!M57</f>
        <v>4710</v>
      </c>
      <c r="N104" s="63">
        <f>'Lobby Lounge'!N81+'Fangfei Lounge'!N81+'Royal Court'!N81+'MP Cafe'!N81+'Pingju Zhuhai'!N81+'Room Service'!N81+Banquet!N82+Minibar!N69+STW!N57+'Main Kitchen'!N57+'F&amp;B Admin'!N57</f>
        <v>4805</v>
      </c>
      <c r="O104" s="63">
        <f>'Lobby Lounge'!O81+'Fangfei Lounge'!O81+'Royal Court'!O81+'MP Cafe'!O81+'Pingju Zhuhai'!O81+'Room Service'!O81+Banquet!O82+Minibar!O69+STW!O57+'Main Kitchen'!O57+'F&amp;B Admin'!O57</f>
        <v>4710</v>
      </c>
      <c r="P104" s="63">
        <f>'Lobby Lounge'!P81+'Fangfei Lounge'!P81+'Royal Court'!P81+'MP Cafe'!P81+'Pingju Zhuhai'!P81+'Room Service'!P81+Banquet!P82+Minibar!P69+STW!P57+'Main Kitchen'!P57+'F&amp;B Admin'!P57</f>
        <v>4805</v>
      </c>
      <c r="Q104" s="134">
        <f t="shared" si="11"/>
        <v>56995</v>
      </c>
      <c r="R104" s="134">
        <v>0</v>
      </c>
      <c r="S104" s="134">
        <f t="shared" si="12"/>
        <v>0.43982714048693905</v>
      </c>
      <c r="U104" s="148"/>
      <c r="V104" s="40" t="e">
        <f t="shared" si="13"/>
        <v>#DIV/0!</v>
      </c>
    </row>
    <row r="105" spans="1:22" s="77" customFormat="1" ht="25.4" hidden="1" customHeight="1">
      <c r="A105" s="3" t="s">
        <v>228</v>
      </c>
      <c r="B105" s="3" t="s">
        <v>403</v>
      </c>
      <c r="C105" s="3"/>
      <c r="D105" s="26" t="s">
        <v>229</v>
      </c>
      <c r="E105" s="63">
        <f>'Lobby Lounge'!E82+'Fangfei Lounge'!E82+'Royal Court'!E82+'MP Cafe'!E82+'Pingju Zhuhai'!E82+'Room Service'!E82+Banquet!E83+Minibar!E70+STW!E58+'Main Kitchen'!E58+'F&amp;B Admin'!E58</f>
        <v>0</v>
      </c>
      <c r="F105" s="63">
        <f>'Lobby Lounge'!F82+'Fangfei Lounge'!F82+'Royal Court'!F82+'MP Cafe'!F82+'Pingju Zhuhai'!F82+'Room Service'!F82+Banquet!F83+Minibar!F70+STW!F58+'Main Kitchen'!F58+'F&amp;B Admin'!F58</f>
        <v>0</v>
      </c>
      <c r="G105" s="63">
        <f>'Lobby Lounge'!G82+'Fangfei Lounge'!G82+'Royal Court'!G82+'MP Cafe'!G82+'Pingju Zhuhai'!G82+'Room Service'!G82+Banquet!G83+Minibar!G70+STW!G58+'Main Kitchen'!G58+'F&amp;B Admin'!G58</f>
        <v>0</v>
      </c>
      <c r="H105" s="63">
        <f>'Lobby Lounge'!H82+'Fangfei Lounge'!H82+'Royal Court'!H82+'MP Cafe'!H82+'Pingju Zhuhai'!H82+'Room Service'!H82+Banquet!H83+Minibar!H70+STW!H58+'Main Kitchen'!H58+'F&amp;B Admin'!H58</f>
        <v>0</v>
      </c>
      <c r="I105" s="63">
        <f>'Lobby Lounge'!I82+'Fangfei Lounge'!I82+'Royal Court'!I82+'MP Cafe'!I82+'Pingju Zhuhai'!I82+'Room Service'!I82+Banquet!I83+Minibar!I70+STW!I58+'Main Kitchen'!I58+'F&amp;B Admin'!I58</f>
        <v>0</v>
      </c>
      <c r="J105" s="63">
        <f>'Lobby Lounge'!J82+'Fangfei Lounge'!J82+'Royal Court'!J82+'MP Cafe'!J82+'Pingju Zhuhai'!J82+'Room Service'!J82+Banquet!J83+Minibar!J70+STW!J58+'Main Kitchen'!J58+'F&amp;B Admin'!J58</f>
        <v>0</v>
      </c>
      <c r="K105" s="63">
        <f>'Lobby Lounge'!K82+'Fangfei Lounge'!K82+'Royal Court'!K82+'MP Cafe'!K82+'Pingju Zhuhai'!K82+'Room Service'!K82+Banquet!K83+Minibar!K70+STW!K58+'Main Kitchen'!K58+'F&amp;B Admin'!K58</f>
        <v>0</v>
      </c>
      <c r="L105" s="63">
        <f>'Lobby Lounge'!L82+'Fangfei Lounge'!L82+'Royal Court'!L82+'MP Cafe'!L82+'Pingju Zhuhai'!L82+'Room Service'!L82+Banquet!L83+Minibar!L70+STW!L58+'Main Kitchen'!L58+'F&amp;B Admin'!L58</f>
        <v>0</v>
      </c>
      <c r="M105" s="63">
        <f>'Lobby Lounge'!M82+'Fangfei Lounge'!M82+'Royal Court'!M82+'MP Cafe'!M82+'Pingju Zhuhai'!M82+'Room Service'!M82+Banquet!M83+Minibar!M70+STW!M58+'Main Kitchen'!M58+'F&amp;B Admin'!M58</f>
        <v>0</v>
      </c>
      <c r="N105" s="63">
        <f>'Lobby Lounge'!N82+'Fangfei Lounge'!N82+'Royal Court'!N82+'MP Cafe'!N82+'Pingju Zhuhai'!N82+'Room Service'!N82+Banquet!N83+Minibar!N70+STW!N58+'Main Kitchen'!N58+'F&amp;B Admin'!N58</f>
        <v>0</v>
      </c>
      <c r="O105" s="63">
        <f>'Lobby Lounge'!O82+'Fangfei Lounge'!O82+'Royal Court'!O82+'MP Cafe'!O82+'Pingju Zhuhai'!O82+'Room Service'!O82+Banquet!O83+Minibar!O70+STW!O58+'Main Kitchen'!O58+'F&amp;B Admin'!O58</f>
        <v>0</v>
      </c>
      <c r="P105" s="63">
        <f>'Lobby Lounge'!P82+'Fangfei Lounge'!P82+'Royal Court'!P82+'MP Cafe'!P82+'Pingju Zhuhai'!P82+'Room Service'!P82+Banquet!P83+Minibar!P70+STW!P58+'Main Kitchen'!P58+'F&amp;B Admin'!P58</f>
        <v>0</v>
      </c>
      <c r="Q105" s="134">
        <f t="shared" si="11"/>
        <v>0</v>
      </c>
      <c r="R105" s="134">
        <v>0</v>
      </c>
      <c r="S105" s="134">
        <f t="shared" si="12"/>
        <v>0</v>
      </c>
      <c r="U105" s="148"/>
      <c r="V105" s="40">
        <f t="shared" si="13"/>
        <v>0</v>
      </c>
    </row>
    <row r="106" spans="1:22" s="77" customFormat="1" ht="25.4" hidden="1" customHeight="1">
      <c r="A106" s="3" t="s">
        <v>230</v>
      </c>
      <c r="B106" s="3" t="s">
        <v>403</v>
      </c>
      <c r="C106" s="3"/>
      <c r="D106" s="26" t="s">
        <v>231</v>
      </c>
      <c r="E106" s="63">
        <f>'Lobby Lounge'!E83+'Fangfei Lounge'!E83+'Royal Court'!E83+'MP Cafe'!E83+'Pingju Zhuhai'!E83+'Room Service'!E83+Banquet!E84+Minibar!E71+STW!E59+'Main Kitchen'!E59+'F&amp;B Admin'!E59</f>
        <v>0</v>
      </c>
      <c r="F106" s="63">
        <f>'Lobby Lounge'!F83+'Fangfei Lounge'!F83+'Royal Court'!F83+'MP Cafe'!F83+'Pingju Zhuhai'!F83+'Room Service'!F83+Banquet!F84+Minibar!F71+STW!F59+'Main Kitchen'!F59+'F&amp;B Admin'!F59</f>
        <v>0</v>
      </c>
      <c r="G106" s="63">
        <f>'Lobby Lounge'!G83+'Fangfei Lounge'!G83+'Royal Court'!G83+'MP Cafe'!G83+'Pingju Zhuhai'!G83+'Room Service'!G83+Banquet!G84+Minibar!G71+STW!G59+'Main Kitchen'!G59+'F&amp;B Admin'!G59</f>
        <v>0</v>
      </c>
      <c r="H106" s="63">
        <f>'Lobby Lounge'!H83+'Fangfei Lounge'!H83+'Royal Court'!H83+'MP Cafe'!H83+'Pingju Zhuhai'!H83+'Room Service'!H83+Banquet!H84+Minibar!H71+STW!H59+'Main Kitchen'!H59+'F&amp;B Admin'!H59</f>
        <v>0</v>
      </c>
      <c r="I106" s="63">
        <f>'Lobby Lounge'!I83+'Fangfei Lounge'!I83+'Royal Court'!I83+'MP Cafe'!I83+'Pingju Zhuhai'!I83+'Room Service'!I83+Banquet!I84+Minibar!I71+STW!I59+'Main Kitchen'!I59+'F&amp;B Admin'!I59</f>
        <v>0</v>
      </c>
      <c r="J106" s="63">
        <f>'Lobby Lounge'!J83+'Fangfei Lounge'!J83+'Royal Court'!J83+'MP Cafe'!J83+'Pingju Zhuhai'!J83+'Room Service'!J83+Banquet!J84+Minibar!J71+STW!J59+'Main Kitchen'!J59+'F&amp;B Admin'!J59</f>
        <v>0</v>
      </c>
      <c r="K106" s="63">
        <f>'Lobby Lounge'!K83+'Fangfei Lounge'!K83+'Royal Court'!K83+'MP Cafe'!K83+'Pingju Zhuhai'!K83+'Room Service'!K83+Banquet!K84+Minibar!K71+STW!K59+'Main Kitchen'!K59+'F&amp;B Admin'!K59</f>
        <v>0</v>
      </c>
      <c r="L106" s="63">
        <f>'Lobby Lounge'!L83+'Fangfei Lounge'!L83+'Royal Court'!L83+'MP Cafe'!L83+'Pingju Zhuhai'!L83+'Room Service'!L83+Banquet!L84+Minibar!L71+STW!L59+'Main Kitchen'!L59+'F&amp;B Admin'!L59</f>
        <v>0</v>
      </c>
      <c r="M106" s="63">
        <f>'Lobby Lounge'!M83+'Fangfei Lounge'!M83+'Royal Court'!M83+'MP Cafe'!M83+'Pingju Zhuhai'!M83+'Room Service'!M83+Banquet!M84+Minibar!M71+STW!M59+'Main Kitchen'!M59+'F&amp;B Admin'!M59</f>
        <v>0</v>
      </c>
      <c r="N106" s="63">
        <f>'Lobby Lounge'!N83+'Fangfei Lounge'!N83+'Royal Court'!N83+'MP Cafe'!N83+'Pingju Zhuhai'!N83+'Room Service'!N83+Banquet!N84+Minibar!N71+STW!N59+'Main Kitchen'!N59+'F&amp;B Admin'!N59</f>
        <v>0</v>
      </c>
      <c r="O106" s="63">
        <f>'Lobby Lounge'!O83+'Fangfei Lounge'!O83+'Royal Court'!O83+'MP Cafe'!O83+'Pingju Zhuhai'!O83+'Room Service'!O83+Banquet!O84+Minibar!O71+STW!O59+'Main Kitchen'!O59+'F&amp;B Admin'!O59</f>
        <v>0</v>
      </c>
      <c r="P106" s="63">
        <f>'Lobby Lounge'!P83+'Fangfei Lounge'!P83+'Royal Court'!P83+'MP Cafe'!P83+'Pingju Zhuhai'!P83+'Room Service'!P83+Banquet!P84+Minibar!P71+STW!P59+'Main Kitchen'!P59+'F&amp;B Admin'!P59</f>
        <v>0</v>
      </c>
      <c r="Q106" s="134">
        <f t="shared" si="11"/>
        <v>0</v>
      </c>
      <c r="R106" s="134">
        <v>0</v>
      </c>
      <c r="S106" s="134">
        <f t="shared" si="12"/>
        <v>0</v>
      </c>
      <c r="U106" s="148"/>
      <c r="V106" s="40">
        <f t="shared" si="13"/>
        <v>0</v>
      </c>
    </row>
    <row r="107" spans="1:22" s="77" customFormat="1" ht="25.4" hidden="1" customHeight="1">
      <c r="A107" s="3" t="s">
        <v>232</v>
      </c>
      <c r="B107" s="3" t="s">
        <v>403</v>
      </c>
      <c r="C107" s="3"/>
      <c r="D107" s="26" t="s">
        <v>233</v>
      </c>
      <c r="E107" s="63">
        <f>'Lobby Lounge'!E84+'Fangfei Lounge'!E84+'Royal Court'!E84+'MP Cafe'!E84+'Pingju Zhuhai'!E84+'Room Service'!E84+Banquet!E85+Minibar!E72+STW!E60+'Main Kitchen'!E60+'F&amp;B Admin'!E60</f>
        <v>0</v>
      </c>
      <c r="F107" s="63">
        <f>'Lobby Lounge'!F84+'Fangfei Lounge'!F84+'Royal Court'!F84+'MP Cafe'!F84+'Pingju Zhuhai'!F84+'Room Service'!F84+Banquet!F85+Minibar!F72+STW!F60+'Main Kitchen'!F60+'F&amp;B Admin'!F60</f>
        <v>0</v>
      </c>
      <c r="G107" s="63">
        <f>'Lobby Lounge'!G84+'Fangfei Lounge'!G84+'Royal Court'!G84+'MP Cafe'!G84+'Pingju Zhuhai'!G84+'Room Service'!G84+Banquet!G85+Minibar!G72+STW!G60+'Main Kitchen'!G60+'F&amp;B Admin'!G60</f>
        <v>0</v>
      </c>
      <c r="H107" s="63">
        <f>'Lobby Lounge'!H84+'Fangfei Lounge'!H84+'Royal Court'!H84+'MP Cafe'!H84+'Pingju Zhuhai'!H84+'Room Service'!H84+Banquet!H85+Minibar!H72+STW!H60+'Main Kitchen'!H60+'F&amp;B Admin'!H60</f>
        <v>0</v>
      </c>
      <c r="I107" s="63">
        <f>'Lobby Lounge'!I84+'Fangfei Lounge'!I84+'Royal Court'!I84+'MP Cafe'!I84+'Pingju Zhuhai'!I84+'Room Service'!I84+Banquet!I85+Minibar!I72+STW!I60+'Main Kitchen'!I60+'F&amp;B Admin'!I60</f>
        <v>0</v>
      </c>
      <c r="J107" s="63">
        <f>'Lobby Lounge'!J84+'Fangfei Lounge'!J84+'Royal Court'!J84+'MP Cafe'!J84+'Pingju Zhuhai'!J84+'Room Service'!J84+Banquet!J85+Minibar!J72+STW!J60+'Main Kitchen'!J60+'F&amp;B Admin'!J60</f>
        <v>0</v>
      </c>
      <c r="K107" s="63">
        <f>'Lobby Lounge'!K84+'Fangfei Lounge'!K84+'Royal Court'!K84+'MP Cafe'!K84+'Pingju Zhuhai'!K84+'Room Service'!K84+Banquet!K85+Minibar!K72+STW!K60+'Main Kitchen'!K60+'F&amp;B Admin'!K60</f>
        <v>0</v>
      </c>
      <c r="L107" s="63">
        <f>'Lobby Lounge'!L84+'Fangfei Lounge'!L84+'Royal Court'!L84+'MP Cafe'!L84+'Pingju Zhuhai'!L84+'Room Service'!L84+Banquet!L85+Minibar!L72+STW!L60+'Main Kitchen'!L60+'F&amp;B Admin'!L60</f>
        <v>0</v>
      </c>
      <c r="M107" s="63">
        <f>'Lobby Lounge'!M84+'Fangfei Lounge'!M84+'Royal Court'!M84+'MP Cafe'!M84+'Pingju Zhuhai'!M84+'Room Service'!M84+Banquet!M85+Minibar!M72+STW!M60+'Main Kitchen'!M60+'F&amp;B Admin'!M60</f>
        <v>0</v>
      </c>
      <c r="N107" s="63">
        <f>'Lobby Lounge'!N84+'Fangfei Lounge'!N84+'Royal Court'!N84+'MP Cafe'!N84+'Pingju Zhuhai'!N84+'Room Service'!N84+Banquet!N85+Minibar!N72+STW!N60+'Main Kitchen'!N60+'F&amp;B Admin'!N60</f>
        <v>0</v>
      </c>
      <c r="O107" s="63">
        <f>'Lobby Lounge'!O84+'Fangfei Lounge'!O84+'Royal Court'!O84+'MP Cafe'!O84+'Pingju Zhuhai'!O84+'Room Service'!O84+Banquet!O85+Minibar!O72+STW!O60+'Main Kitchen'!O60+'F&amp;B Admin'!O60</f>
        <v>0</v>
      </c>
      <c r="P107" s="63">
        <f>'Lobby Lounge'!P84+'Fangfei Lounge'!P84+'Royal Court'!P84+'MP Cafe'!P84+'Pingju Zhuhai'!P84+'Room Service'!P84+Banquet!P85+Minibar!P72+STW!P60+'Main Kitchen'!P60+'F&amp;B Admin'!P60</f>
        <v>0</v>
      </c>
      <c r="Q107" s="134">
        <f t="shared" si="11"/>
        <v>0</v>
      </c>
      <c r="R107" s="134">
        <v>0</v>
      </c>
      <c r="S107" s="134">
        <f t="shared" si="12"/>
        <v>0</v>
      </c>
      <c r="U107" s="148"/>
      <c r="V107" s="40">
        <f t="shared" si="13"/>
        <v>0</v>
      </c>
    </row>
    <row r="108" spans="1:22" s="77" customFormat="1" ht="25.4" hidden="1" customHeight="1">
      <c r="A108" s="3" t="s">
        <v>234</v>
      </c>
      <c r="B108" s="3" t="s">
        <v>403</v>
      </c>
      <c r="C108" s="3"/>
      <c r="D108" s="26" t="s">
        <v>235</v>
      </c>
      <c r="E108" s="63">
        <f>'Lobby Lounge'!E85+'Fangfei Lounge'!E85+'Royal Court'!E85+'MP Cafe'!E85+'Pingju Zhuhai'!E85+'Room Service'!E85+Banquet!E86+Minibar!E73+STW!E61+'Main Kitchen'!E61+'F&amp;B Admin'!E61</f>
        <v>0</v>
      </c>
      <c r="F108" s="63">
        <f>'Lobby Lounge'!F85+'Fangfei Lounge'!F85+'Royal Court'!F85+'MP Cafe'!F85+'Pingju Zhuhai'!F85+'Room Service'!F85+Banquet!F86+Minibar!F73+STW!F61+'Main Kitchen'!F61+'F&amp;B Admin'!F61</f>
        <v>0</v>
      </c>
      <c r="G108" s="63">
        <f>'Lobby Lounge'!G85+'Fangfei Lounge'!G85+'Royal Court'!G85+'MP Cafe'!G85+'Pingju Zhuhai'!G85+'Room Service'!G85+Banquet!G86+Minibar!G73+STW!G61+'Main Kitchen'!G61+'F&amp;B Admin'!G61</f>
        <v>0</v>
      </c>
      <c r="H108" s="63">
        <f>'Lobby Lounge'!H85+'Fangfei Lounge'!H85+'Royal Court'!H85+'MP Cafe'!H85+'Pingju Zhuhai'!H85+'Room Service'!H85+Banquet!H86+Minibar!H73+STW!H61+'Main Kitchen'!H61+'F&amp;B Admin'!H61</f>
        <v>0</v>
      </c>
      <c r="I108" s="63">
        <f>'Lobby Lounge'!I85+'Fangfei Lounge'!I85+'Royal Court'!I85+'MP Cafe'!I85+'Pingju Zhuhai'!I85+'Room Service'!I85+Banquet!I86+Minibar!I73+STW!I61+'Main Kitchen'!I61+'F&amp;B Admin'!I61</f>
        <v>0</v>
      </c>
      <c r="J108" s="63">
        <f>'Lobby Lounge'!J85+'Fangfei Lounge'!J85+'Royal Court'!J85+'MP Cafe'!J85+'Pingju Zhuhai'!J85+'Room Service'!J85+Banquet!J86+Minibar!J73+STW!J61+'Main Kitchen'!J61+'F&amp;B Admin'!J61</f>
        <v>0</v>
      </c>
      <c r="K108" s="63">
        <f>'Lobby Lounge'!K85+'Fangfei Lounge'!K85+'Royal Court'!K85+'MP Cafe'!K85+'Pingju Zhuhai'!K85+'Room Service'!K85+Banquet!K86+Minibar!K73+STW!K61+'Main Kitchen'!K61+'F&amp;B Admin'!K61</f>
        <v>0</v>
      </c>
      <c r="L108" s="63">
        <f>'Lobby Lounge'!L85+'Fangfei Lounge'!L85+'Royal Court'!L85+'MP Cafe'!L85+'Pingju Zhuhai'!L85+'Room Service'!L85+Banquet!L86+Minibar!L73+STW!L61+'Main Kitchen'!L61+'F&amp;B Admin'!L61</f>
        <v>0</v>
      </c>
      <c r="M108" s="63">
        <f>'Lobby Lounge'!M85+'Fangfei Lounge'!M85+'Royal Court'!M85+'MP Cafe'!M85+'Pingju Zhuhai'!M85+'Room Service'!M85+Banquet!M86+Minibar!M73+STW!M61+'Main Kitchen'!M61+'F&amp;B Admin'!M61</f>
        <v>0</v>
      </c>
      <c r="N108" s="63">
        <f>'Lobby Lounge'!N85+'Fangfei Lounge'!N85+'Royal Court'!N85+'MP Cafe'!N85+'Pingju Zhuhai'!N85+'Room Service'!N85+Banquet!N86+Minibar!N73+STW!N61+'Main Kitchen'!N61+'F&amp;B Admin'!N61</f>
        <v>0</v>
      </c>
      <c r="O108" s="63">
        <f>'Lobby Lounge'!O85+'Fangfei Lounge'!O85+'Royal Court'!O85+'MP Cafe'!O85+'Pingju Zhuhai'!O85+'Room Service'!O85+Banquet!O86+Minibar!O73+STW!O61+'Main Kitchen'!O61+'F&amp;B Admin'!O61</f>
        <v>0</v>
      </c>
      <c r="P108" s="63">
        <f>'Lobby Lounge'!P85+'Fangfei Lounge'!P85+'Royal Court'!P85+'MP Cafe'!P85+'Pingju Zhuhai'!P85+'Room Service'!P85+Banquet!P86+Minibar!P73+STW!P61+'Main Kitchen'!P61+'F&amp;B Admin'!P61</f>
        <v>0</v>
      </c>
      <c r="Q108" s="134">
        <f t="shared" si="11"/>
        <v>0</v>
      </c>
      <c r="R108" s="134">
        <v>0</v>
      </c>
      <c r="S108" s="134">
        <f t="shared" si="12"/>
        <v>0</v>
      </c>
      <c r="U108" s="148"/>
      <c r="V108" s="40">
        <f t="shared" si="13"/>
        <v>0</v>
      </c>
    </row>
    <row r="109" spans="1:22" s="77" customFormat="1" ht="25.4" hidden="1" customHeight="1">
      <c r="A109" s="3" t="s">
        <v>422</v>
      </c>
      <c r="B109" s="3" t="s">
        <v>403</v>
      </c>
      <c r="C109" s="3"/>
      <c r="D109" s="26" t="s">
        <v>423</v>
      </c>
      <c r="E109" s="63">
        <f>'Lobby Lounge'!E86+'Fangfei Lounge'!E86+'Royal Court'!E86+'MP Cafe'!E86+'Pingju Zhuhai'!E86+'Room Service'!E86+Banquet!E87+Minibar!E74+STW!E62+'Main Kitchen'!E62+'F&amp;B Admin'!E62</f>
        <v>0</v>
      </c>
      <c r="F109" s="63">
        <f>'Lobby Lounge'!F86+'Fangfei Lounge'!F86+'Royal Court'!F86+'MP Cafe'!F86+'Pingju Zhuhai'!F86+'Room Service'!F86+Banquet!F87+Minibar!F74+STW!F62+'Main Kitchen'!F62+'F&amp;B Admin'!F62</f>
        <v>0</v>
      </c>
      <c r="G109" s="63">
        <f>'Lobby Lounge'!G86+'Fangfei Lounge'!G86+'Royal Court'!G86+'MP Cafe'!G86+'Pingju Zhuhai'!G86+'Room Service'!G86+Banquet!G87+Minibar!G74+STW!G62+'Main Kitchen'!G62+'F&amp;B Admin'!G62</f>
        <v>0</v>
      </c>
      <c r="H109" s="63">
        <f>'Lobby Lounge'!H86+'Fangfei Lounge'!H86+'Royal Court'!H86+'MP Cafe'!H86+'Pingju Zhuhai'!H86+'Room Service'!H86+Banquet!H87+Minibar!H74+STW!H62+'Main Kitchen'!H62+'F&amp;B Admin'!H62</f>
        <v>0</v>
      </c>
      <c r="I109" s="63">
        <f>'Lobby Lounge'!I86+'Fangfei Lounge'!I86+'Royal Court'!I86+'MP Cafe'!I86+'Pingju Zhuhai'!I86+'Room Service'!I86+Banquet!I87+Minibar!I74+STW!I62+'Main Kitchen'!I62+'F&amp;B Admin'!I62</f>
        <v>0</v>
      </c>
      <c r="J109" s="63">
        <f>'Lobby Lounge'!J86+'Fangfei Lounge'!J86+'Royal Court'!J86+'MP Cafe'!J86+'Pingju Zhuhai'!J86+'Room Service'!J86+Banquet!J87+Minibar!J74+STW!J62+'Main Kitchen'!J62+'F&amp;B Admin'!J62</f>
        <v>0</v>
      </c>
      <c r="K109" s="63">
        <f>'Lobby Lounge'!K86+'Fangfei Lounge'!K86+'Royal Court'!K86+'MP Cafe'!K86+'Pingju Zhuhai'!K86+'Room Service'!K86+Banquet!K87+Minibar!K74+STW!K62+'Main Kitchen'!K62+'F&amp;B Admin'!K62</f>
        <v>0</v>
      </c>
      <c r="L109" s="63">
        <f>'Lobby Lounge'!L86+'Fangfei Lounge'!L86+'Royal Court'!L86+'MP Cafe'!L86+'Pingju Zhuhai'!L86+'Room Service'!L86+Banquet!L87+Minibar!L74+STW!L62+'Main Kitchen'!L62+'F&amp;B Admin'!L62</f>
        <v>0</v>
      </c>
      <c r="M109" s="63">
        <f>'Lobby Lounge'!M86+'Fangfei Lounge'!M86+'Royal Court'!M86+'MP Cafe'!M86+'Pingju Zhuhai'!M86+'Room Service'!M86+Banquet!M87+Minibar!M74+STW!M62+'Main Kitchen'!M62+'F&amp;B Admin'!M62</f>
        <v>0</v>
      </c>
      <c r="N109" s="63">
        <f>'Lobby Lounge'!N86+'Fangfei Lounge'!N86+'Royal Court'!N86+'MP Cafe'!N86+'Pingju Zhuhai'!N86+'Room Service'!N86+Banquet!N87+Minibar!N74+STW!N62+'Main Kitchen'!N62+'F&amp;B Admin'!N62</f>
        <v>0</v>
      </c>
      <c r="O109" s="63">
        <f>'Lobby Lounge'!O86+'Fangfei Lounge'!O86+'Royal Court'!O86+'MP Cafe'!O86+'Pingju Zhuhai'!O86+'Room Service'!O86+Banquet!O87+Minibar!O74+STW!O62+'Main Kitchen'!O62+'F&amp;B Admin'!O62</f>
        <v>0</v>
      </c>
      <c r="P109" s="63">
        <f>'Lobby Lounge'!P86+'Fangfei Lounge'!P86+'Royal Court'!P86+'MP Cafe'!P86+'Pingju Zhuhai'!P86+'Room Service'!P86+Banquet!P87+Minibar!P74+STW!P62+'Main Kitchen'!P62+'F&amp;B Admin'!P62</f>
        <v>0</v>
      </c>
      <c r="Q109" s="134">
        <f t="shared" si="11"/>
        <v>0</v>
      </c>
      <c r="R109" s="134">
        <v>0</v>
      </c>
      <c r="S109" s="134">
        <f t="shared" si="12"/>
        <v>0</v>
      </c>
      <c r="U109" s="148"/>
      <c r="V109" s="40">
        <f t="shared" si="13"/>
        <v>0</v>
      </c>
    </row>
    <row r="110" spans="1:22" s="77" customFormat="1" ht="25.4" hidden="1" customHeight="1">
      <c r="A110" s="3" t="s">
        <v>236</v>
      </c>
      <c r="B110" s="3" t="s">
        <v>403</v>
      </c>
      <c r="C110" s="3"/>
      <c r="D110" s="26" t="s">
        <v>237</v>
      </c>
      <c r="E110" s="63">
        <f>'Lobby Lounge'!E87+'Fangfei Lounge'!E87+'Royal Court'!E87+'MP Cafe'!E87+'Pingju Zhuhai'!E87+'Room Service'!E87+Banquet!E88+Minibar!E75+STW!E63+'Main Kitchen'!E63+'F&amp;B Admin'!E63</f>
        <v>0</v>
      </c>
      <c r="F110" s="63">
        <f>'Lobby Lounge'!F87+'Fangfei Lounge'!F87+'Royal Court'!F87+'MP Cafe'!F87+'Pingju Zhuhai'!F87+'Room Service'!F87+Banquet!F88+Minibar!F75+STW!F63+'Main Kitchen'!F63+'F&amp;B Admin'!F63</f>
        <v>0</v>
      </c>
      <c r="G110" s="63">
        <f>'Lobby Lounge'!G87+'Fangfei Lounge'!G87+'Royal Court'!G87+'MP Cafe'!G87+'Pingju Zhuhai'!G87+'Room Service'!G87+Banquet!G88+Minibar!G75+STW!G63+'Main Kitchen'!G63+'F&amp;B Admin'!G63</f>
        <v>0</v>
      </c>
      <c r="H110" s="63">
        <f>'Lobby Lounge'!H87+'Fangfei Lounge'!H87+'Royal Court'!H87+'MP Cafe'!H87+'Pingju Zhuhai'!H87+'Room Service'!H87+Banquet!H88+Minibar!H75+STW!H63+'Main Kitchen'!H63+'F&amp;B Admin'!H63</f>
        <v>0</v>
      </c>
      <c r="I110" s="63">
        <f>'Lobby Lounge'!I87+'Fangfei Lounge'!I87+'Royal Court'!I87+'MP Cafe'!I87+'Pingju Zhuhai'!I87+'Room Service'!I87+Banquet!I88+Minibar!I75+STW!I63+'Main Kitchen'!I63+'F&amp;B Admin'!I63</f>
        <v>0</v>
      </c>
      <c r="J110" s="63">
        <f>'Lobby Lounge'!J87+'Fangfei Lounge'!J87+'Royal Court'!J87+'MP Cafe'!J87+'Pingju Zhuhai'!J87+'Room Service'!J87+Banquet!J88+Minibar!J75+STW!J63+'Main Kitchen'!J63+'F&amp;B Admin'!J63</f>
        <v>0</v>
      </c>
      <c r="K110" s="63">
        <f>'Lobby Lounge'!K87+'Fangfei Lounge'!K87+'Royal Court'!K87+'MP Cafe'!K87+'Pingju Zhuhai'!K87+'Room Service'!K87+Banquet!K88+Minibar!K75+STW!K63+'Main Kitchen'!K63+'F&amp;B Admin'!K63</f>
        <v>0</v>
      </c>
      <c r="L110" s="63">
        <f>'Lobby Lounge'!L87+'Fangfei Lounge'!L87+'Royal Court'!L87+'MP Cafe'!L87+'Pingju Zhuhai'!L87+'Room Service'!L87+Banquet!L88+Minibar!L75+STW!L63+'Main Kitchen'!L63+'F&amp;B Admin'!L63</f>
        <v>0</v>
      </c>
      <c r="M110" s="63">
        <f>'Lobby Lounge'!M87+'Fangfei Lounge'!M87+'Royal Court'!M87+'MP Cafe'!M87+'Pingju Zhuhai'!M87+'Room Service'!M87+Banquet!M88+Minibar!M75+STW!M63+'Main Kitchen'!M63+'F&amp;B Admin'!M63</f>
        <v>0</v>
      </c>
      <c r="N110" s="63">
        <f>'Lobby Lounge'!N87+'Fangfei Lounge'!N87+'Royal Court'!N87+'MP Cafe'!N87+'Pingju Zhuhai'!N87+'Room Service'!N87+Banquet!N88+Minibar!N75+STW!N63+'Main Kitchen'!N63+'F&amp;B Admin'!N63</f>
        <v>0</v>
      </c>
      <c r="O110" s="63">
        <f>'Lobby Lounge'!O87+'Fangfei Lounge'!O87+'Royal Court'!O87+'MP Cafe'!O87+'Pingju Zhuhai'!O87+'Room Service'!O87+Banquet!O88+Minibar!O75+STW!O63+'Main Kitchen'!O63+'F&amp;B Admin'!O63</f>
        <v>0</v>
      </c>
      <c r="P110" s="63">
        <f>'Lobby Lounge'!P87+'Fangfei Lounge'!P87+'Royal Court'!P87+'MP Cafe'!P87+'Pingju Zhuhai'!P87+'Room Service'!P87+Banquet!P88+Minibar!P75+STW!P63+'Main Kitchen'!P63+'F&amp;B Admin'!P63</f>
        <v>0</v>
      </c>
      <c r="Q110" s="134">
        <f t="shared" si="11"/>
        <v>0</v>
      </c>
      <c r="R110" s="134">
        <v>0</v>
      </c>
      <c r="S110" s="134">
        <f t="shared" si="12"/>
        <v>0</v>
      </c>
      <c r="U110" s="148"/>
      <c r="V110" s="40">
        <f t="shared" si="13"/>
        <v>0</v>
      </c>
    </row>
    <row r="111" spans="1:22" s="77" customFormat="1" ht="25.4" hidden="1" customHeight="1">
      <c r="A111" s="3" t="s">
        <v>238</v>
      </c>
      <c r="B111" s="3" t="s">
        <v>403</v>
      </c>
      <c r="C111" s="3"/>
      <c r="D111" s="26" t="s">
        <v>239</v>
      </c>
      <c r="E111" s="63">
        <f>'Lobby Lounge'!E88+'Fangfei Lounge'!E88+'Royal Court'!E88+'MP Cafe'!E88+'Pingju Zhuhai'!E88+'Room Service'!E88+Banquet!E89+Minibar!E76+STW!E64+'Main Kitchen'!E64+'F&amp;B Admin'!E64</f>
        <v>0</v>
      </c>
      <c r="F111" s="63">
        <f>'Lobby Lounge'!F88+'Fangfei Lounge'!F88+'Royal Court'!F88+'MP Cafe'!F88+'Pingju Zhuhai'!F88+'Room Service'!F88+Banquet!F89+Minibar!F76+STW!F64+'Main Kitchen'!F64+'F&amp;B Admin'!F64</f>
        <v>0</v>
      </c>
      <c r="G111" s="63">
        <f>'Lobby Lounge'!G88+'Fangfei Lounge'!G88+'Royal Court'!G88+'MP Cafe'!G88+'Pingju Zhuhai'!G88+'Room Service'!G88+Banquet!G89+Minibar!G76+STW!G64+'Main Kitchen'!G64+'F&amp;B Admin'!G64</f>
        <v>0</v>
      </c>
      <c r="H111" s="63">
        <f>'Lobby Lounge'!H88+'Fangfei Lounge'!H88+'Royal Court'!H88+'MP Cafe'!H88+'Pingju Zhuhai'!H88+'Room Service'!H88+Banquet!H89+Minibar!H76+STW!H64+'Main Kitchen'!H64+'F&amp;B Admin'!H64</f>
        <v>0</v>
      </c>
      <c r="I111" s="63">
        <f>'Lobby Lounge'!I88+'Fangfei Lounge'!I88+'Royal Court'!I88+'MP Cafe'!I88+'Pingju Zhuhai'!I88+'Room Service'!I88+Banquet!I89+Minibar!I76+STW!I64+'Main Kitchen'!I64+'F&amp;B Admin'!I64</f>
        <v>0</v>
      </c>
      <c r="J111" s="63">
        <f>'Lobby Lounge'!J88+'Fangfei Lounge'!J88+'Royal Court'!J88+'MP Cafe'!J88+'Pingju Zhuhai'!J88+'Room Service'!J88+Banquet!J89+Minibar!J76+STW!J64+'Main Kitchen'!J64+'F&amp;B Admin'!J64</f>
        <v>0</v>
      </c>
      <c r="K111" s="63">
        <f>'Lobby Lounge'!K88+'Fangfei Lounge'!K88+'Royal Court'!K88+'MP Cafe'!K88+'Pingju Zhuhai'!K88+'Room Service'!K88+Banquet!K89+Minibar!K76+STW!K64+'Main Kitchen'!K64+'F&amp;B Admin'!K64</f>
        <v>0</v>
      </c>
      <c r="L111" s="63">
        <f>'Lobby Lounge'!L88+'Fangfei Lounge'!L88+'Royal Court'!L88+'MP Cafe'!L88+'Pingju Zhuhai'!L88+'Room Service'!L88+Banquet!L89+Minibar!L76+STW!L64+'Main Kitchen'!L64+'F&amp;B Admin'!L64</f>
        <v>0</v>
      </c>
      <c r="M111" s="63">
        <f>'Lobby Lounge'!M88+'Fangfei Lounge'!M88+'Royal Court'!M88+'MP Cafe'!M88+'Pingju Zhuhai'!M88+'Room Service'!M88+Banquet!M89+Minibar!M76+STW!M64+'Main Kitchen'!M64+'F&amp;B Admin'!M64</f>
        <v>0</v>
      </c>
      <c r="N111" s="63">
        <f>'Lobby Lounge'!N88+'Fangfei Lounge'!N88+'Royal Court'!N88+'MP Cafe'!N88+'Pingju Zhuhai'!N88+'Room Service'!N88+Banquet!N89+Minibar!N76+STW!N64+'Main Kitchen'!N64+'F&amp;B Admin'!N64</f>
        <v>0</v>
      </c>
      <c r="O111" s="63">
        <f>'Lobby Lounge'!O88+'Fangfei Lounge'!O88+'Royal Court'!O88+'MP Cafe'!O88+'Pingju Zhuhai'!O88+'Room Service'!O88+Banquet!O89+Minibar!O76+STW!O64+'Main Kitchen'!O64+'F&amp;B Admin'!O64</f>
        <v>0</v>
      </c>
      <c r="P111" s="63">
        <f>'Lobby Lounge'!P88+'Fangfei Lounge'!P88+'Royal Court'!P88+'MP Cafe'!P88+'Pingju Zhuhai'!P88+'Room Service'!P88+Banquet!P89+Minibar!P76+STW!P64+'Main Kitchen'!P64+'F&amp;B Admin'!P64</f>
        <v>0</v>
      </c>
      <c r="Q111" s="134">
        <f t="shared" si="11"/>
        <v>0</v>
      </c>
      <c r="R111" s="134">
        <v>0</v>
      </c>
      <c r="S111" s="134">
        <f t="shared" si="12"/>
        <v>0</v>
      </c>
      <c r="U111" s="148"/>
      <c r="V111" s="40">
        <f t="shared" si="13"/>
        <v>0</v>
      </c>
    </row>
    <row r="112" spans="1:22" s="77" customFormat="1" ht="25.4" hidden="1" customHeight="1">
      <c r="A112" s="3" t="s">
        <v>240</v>
      </c>
      <c r="B112" s="3" t="s">
        <v>403</v>
      </c>
      <c r="C112" s="3"/>
      <c r="D112" s="26" t="s">
        <v>241</v>
      </c>
      <c r="E112" s="63">
        <f>'Lobby Lounge'!E89+'Fangfei Lounge'!E89+'Royal Court'!E89+'MP Cafe'!E89+'Pingju Zhuhai'!E89+'Room Service'!E89+Banquet!E90+Minibar!E77+STW!E65+'Main Kitchen'!E65+'F&amp;B Admin'!E65</f>
        <v>0</v>
      </c>
      <c r="F112" s="63">
        <f>'Lobby Lounge'!F89+'Fangfei Lounge'!F89+'Royal Court'!F89+'MP Cafe'!F89+'Pingju Zhuhai'!F89+'Room Service'!F89+Banquet!F90+Minibar!F77+STW!F65+'Main Kitchen'!F65+'F&amp;B Admin'!F65</f>
        <v>0</v>
      </c>
      <c r="G112" s="63">
        <f>'Lobby Lounge'!G89+'Fangfei Lounge'!G89+'Royal Court'!G89+'MP Cafe'!G89+'Pingju Zhuhai'!G89+'Room Service'!G89+Banquet!G90+Minibar!G77+STW!G65+'Main Kitchen'!G65+'F&amp;B Admin'!G65</f>
        <v>0</v>
      </c>
      <c r="H112" s="63">
        <f>'Lobby Lounge'!H89+'Fangfei Lounge'!H89+'Royal Court'!H89+'MP Cafe'!H89+'Pingju Zhuhai'!H89+'Room Service'!H89+Banquet!H90+Minibar!H77+STW!H65+'Main Kitchen'!H65+'F&amp;B Admin'!H65</f>
        <v>0</v>
      </c>
      <c r="I112" s="63">
        <f>'Lobby Lounge'!I89+'Fangfei Lounge'!I89+'Royal Court'!I89+'MP Cafe'!I89+'Pingju Zhuhai'!I89+'Room Service'!I89+Banquet!I90+Minibar!I77+STW!I65+'Main Kitchen'!I65+'F&amp;B Admin'!I65</f>
        <v>0</v>
      </c>
      <c r="J112" s="63">
        <f>'Lobby Lounge'!J89+'Fangfei Lounge'!J89+'Royal Court'!J89+'MP Cafe'!J89+'Pingju Zhuhai'!J89+'Room Service'!J89+Banquet!J90+Minibar!J77+STW!J65+'Main Kitchen'!J65+'F&amp;B Admin'!J65</f>
        <v>0</v>
      </c>
      <c r="K112" s="63">
        <f>'Lobby Lounge'!K89+'Fangfei Lounge'!K89+'Royal Court'!K89+'MP Cafe'!K89+'Pingju Zhuhai'!K89+'Room Service'!K89+Banquet!K90+Minibar!K77+STW!K65+'Main Kitchen'!K65+'F&amp;B Admin'!K65</f>
        <v>0</v>
      </c>
      <c r="L112" s="63">
        <f>'Lobby Lounge'!L89+'Fangfei Lounge'!L89+'Royal Court'!L89+'MP Cafe'!L89+'Pingju Zhuhai'!L89+'Room Service'!L89+Banquet!L90+Minibar!L77+STW!L65+'Main Kitchen'!L65+'F&amp;B Admin'!L65</f>
        <v>0</v>
      </c>
      <c r="M112" s="63">
        <f>'Lobby Lounge'!M89+'Fangfei Lounge'!M89+'Royal Court'!M89+'MP Cafe'!M89+'Pingju Zhuhai'!M89+'Room Service'!M89+Banquet!M90+Minibar!M77+STW!M65+'Main Kitchen'!M65+'F&amp;B Admin'!M65</f>
        <v>0</v>
      </c>
      <c r="N112" s="63">
        <f>'Lobby Lounge'!N89+'Fangfei Lounge'!N89+'Royal Court'!N89+'MP Cafe'!N89+'Pingju Zhuhai'!N89+'Room Service'!N89+Banquet!N90+Minibar!N77+STW!N65+'Main Kitchen'!N65+'F&amp;B Admin'!N65</f>
        <v>0</v>
      </c>
      <c r="O112" s="63">
        <f>'Lobby Lounge'!O89+'Fangfei Lounge'!O89+'Royal Court'!O89+'MP Cafe'!O89+'Pingju Zhuhai'!O89+'Room Service'!O89+Banquet!O90+Minibar!O77+STW!O65+'Main Kitchen'!O65+'F&amp;B Admin'!O65</f>
        <v>0</v>
      </c>
      <c r="P112" s="63">
        <f>'Lobby Lounge'!P89+'Fangfei Lounge'!P89+'Royal Court'!P89+'MP Cafe'!P89+'Pingju Zhuhai'!P89+'Room Service'!P89+Banquet!P90+Minibar!P77+STW!P65+'Main Kitchen'!P65+'F&amp;B Admin'!P65</f>
        <v>0</v>
      </c>
      <c r="Q112" s="134">
        <f t="shared" si="11"/>
        <v>0</v>
      </c>
      <c r="R112" s="134">
        <v>0</v>
      </c>
      <c r="S112" s="134">
        <f t="shared" si="12"/>
        <v>0</v>
      </c>
      <c r="U112" s="148"/>
      <c r="V112" s="40">
        <f t="shared" si="13"/>
        <v>0</v>
      </c>
    </row>
    <row r="113" spans="1:23" s="77" customFormat="1" ht="25.4" hidden="1" customHeight="1">
      <c r="A113" s="3" t="s">
        <v>242</v>
      </c>
      <c r="B113" s="3" t="s">
        <v>403</v>
      </c>
      <c r="C113" s="3"/>
      <c r="D113" s="26" t="s">
        <v>243</v>
      </c>
      <c r="E113" s="63">
        <f>'Lobby Lounge'!E90+'Fangfei Lounge'!E90+'Royal Court'!E90+'MP Cafe'!E90+'Pingju Zhuhai'!E90+'Room Service'!E90+Banquet!E91+Minibar!E78+STW!E66+'Main Kitchen'!E66+'F&amp;B Admin'!E66</f>
        <v>0</v>
      </c>
      <c r="F113" s="63">
        <f>'Lobby Lounge'!F90+'Fangfei Lounge'!F90+'Royal Court'!F90+'MP Cafe'!F90+'Pingju Zhuhai'!F90+'Room Service'!F90+Banquet!F91+Minibar!F78+STW!F66+'Main Kitchen'!F66+'F&amp;B Admin'!F66</f>
        <v>0</v>
      </c>
      <c r="G113" s="63">
        <f>'Lobby Lounge'!G90+'Fangfei Lounge'!G90+'Royal Court'!G90+'MP Cafe'!G90+'Pingju Zhuhai'!G90+'Room Service'!G90+Banquet!G91+Minibar!G78+STW!G66+'Main Kitchen'!G66+'F&amp;B Admin'!G66</f>
        <v>0</v>
      </c>
      <c r="H113" s="63">
        <f>'Lobby Lounge'!H90+'Fangfei Lounge'!H90+'Royal Court'!H90+'MP Cafe'!H90+'Pingju Zhuhai'!H90+'Room Service'!H90+Banquet!H91+Minibar!H78+STW!H66+'Main Kitchen'!H66+'F&amp;B Admin'!H66</f>
        <v>0</v>
      </c>
      <c r="I113" s="63">
        <f>'Lobby Lounge'!I90+'Fangfei Lounge'!I90+'Royal Court'!I90+'MP Cafe'!I90+'Pingju Zhuhai'!I90+'Room Service'!I90+Banquet!I91+Minibar!I78+STW!I66+'Main Kitchen'!I66+'F&amp;B Admin'!I66</f>
        <v>0</v>
      </c>
      <c r="J113" s="63">
        <f>'Lobby Lounge'!J90+'Fangfei Lounge'!J90+'Royal Court'!J90+'MP Cafe'!J90+'Pingju Zhuhai'!J90+'Room Service'!J90+Banquet!J91+Minibar!J78+STW!J66+'Main Kitchen'!J66+'F&amp;B Admin'!J66</f>
        <v>0</v>
      </c>
      <c r="K113" s="63">
        <f>'Lobby Lounge'!K90+'Fangfei Lounge'!K90+'Royal Court'!K90+'MP Cafe'!K90+'Pingju Zhuhai'!K90+'Room Service'!K90+Banquet!K91+Minibar!K78+STW!K66+'Main Kitchen'!K66+'F&amp;B Admin'!K66</f>
        <v>0</v>
      </c>
      <c r="L113" s="63">
        <f>'Lobby Lounge'!L90+'Fangfei Lounge'!L90+'Royal Court'!L90+'MP Cafe'!L90+'Pingju Zhuhai'!L90+'Room Service'!L90+Banquet!L91+Minibar!L78+STW!L66+'Main Kitchen'!L66+'F&amp;B Admin'!L66</f>
        <v>0</v>
      </c>
      <c r="M113" s="63">
        <f>'Lobby Lounge'!M90+'Fangfei Lounge'!M90+'Royal Court'!M90+'MP Cafe'!M90+'Pingju Zhuhai'!M90+'Room Service'!M90+Banquet!M91+Minibar!M78+STW!M66+'Main Kitchen'!M66+'F&amp;B Admin'!M66</f>
        <v>0</v>
      </c>
      <c r="N113" s="63">
        <f>'Lobby Lounge'!N90+'Fangfei Lounge'!N90+'Royal Court'!N90+'MP Cafe'!N90+'Pingju Zhuhai'!N90+'Room Service'!N90+Banquet!N91+Minibar!N78+STW!N66+'Main Kitchen'!N66+'F&amp;B Admin'!N66</f>
        <v>0</v>
      </c>
      <c r="O113" s="63">
        <f>'Lobby Lounge'!O90+'Fangfei Lounge'!O90+'Royal Court'!O90+'MP Cafe'!O90+'Pingju Zhuhai'!O90+'Room Service'!O90+Banquet!O91+Minibar!O78+STW!O66+'Main Kitchen'!O66+'F&amp;B Admin'!O66</f>
        <v>0</v>
      </c>
      <c r="P113" s="63">
        <f>'Lobby Lounge'!P90+'Fangfei Lounge'!P90+'Royal Court'!P90+'MP Cafe'!P90+'Pingju Zhuhai'!P90+'Room Service'!P90+Banquet!P91+Minibar!P78+STW!P66+'Main Kitchen'!P66+'F&amp;B Admin'!P66</f>
        <v>0</v>
      </c>
      <c r="Q113" s="134">
        <f t="shared" si="11"/>
        <v>0</v>
      </c>
      <c r="R113" s="134">
        <v>0</v>
      </c>
      <c r="S113" s="134">
        <f t="shared" si="12"/>
        <v>0</v>
      </c>
      <c r="U113" s="148"/>
      <c r="V113" s="40">
        <f t="shared" si="13"/>
        <v>0</v>
      </c>
    </row>
    <row r="114" spans="1:23" s="77" customFormat="1" ht="25.4" hidden="1" customHeight="1">
      <c r="A114" s="3" t="s">
        <v>244</v>
      </c>
      <c r="B114" s="3" t="s">
        <v>403</v>
      </c>
      <c r="C114" s="3"/>
      <c r="D114" s="26" t="s">
        <v>245</v>
      </c>
      <c r="E114" s="63">
        <f>'Lobby Lounge'!E91+'Fangfei Lounge'!E91+'Royal Court'!E91+'MP Cafe'!E91+'Pingju Zhuhai'!E91+'Room Service'!E91+Banquet!E92+Minibar!E79+STW!E67+'Main Kitchen'!E67+'F&amp;B Admin'!E67</f>
        <v>0</v>
      </c>
      <c r="F114" s="63">
        <f>'Lobby Lounge'!F91+'Fangfei Lounge'!F91+'Royal Court'!F91+'MP Cafe'!F91+'Pingju Zhuhai'!F91+'Room Service'!F91+Banquet!F92+Minibar!F79+STW!F67+'Main Kitchen'!F67+'F&amp;B Admin'!F67</f>
        <v>0</v>
      </c>
      <c r="G114" s="63">
        <f>'Lobby Lounge'!G91+'Fangfei Lounge'!G91+'Royal Court'!G91+'MP Cafe'!G91+'Pingju Zhuhai'!G91+'Room Service'!G91+Banquet!G92+Minibar!G79+STW!G67+'Main Kitchen'!G67+'F&amp;B Admin'!G67</f>
        <v>0</v>
      </c>
      <c r="H114" s="63">
        <f>'Lobby Lounge'!H91+'Fangfei Lounge'!H91+'Royal Court'!H91+'MP Cafe'!H91+'Pingju Zhuhai'!H91+'Room Service'!H91+Banquet!H92+Minibar!H79+STW!H67+'Main Kitchen'!H67+'F&amp;B Admin'!H67</f>
        <v>0</v>
      </c>
      <c r="I114" s="63">
        <f>'Lobby Lounge'!I91+'Fangfei Lounge'!I91+'Royal Court'!I91+'MP Cafe'!I91+'Pingju Zhuhai'!I91+'Room Service'!I91+Banquet!I92+Minibar!I79+STW!I67+'Main Kitchen'!I67+'F&amp;B Admin'!I67</f>
        <v>0</v>
      </c>
      <c r="J114" s="63">
        <f>'Lobby Lounge'!J91+'Fangfei Lounge'!J91+'Royal Court'!J91+'MP Cafe'!J91+'Pingju Zhuhai'!J91+'Room Service'!J91+Banquet!J92+Minibar!J79+STW!J67+'Main Kitchen'!J67+'F&amp;B Admin'!J67</f>
        <v>0</v>
      </c>
      <c r="K114" s="63">
        <f>'Lobby Lounge'!K91+'Fangfei Lounge'!K91+'Royal Court'!K91+'MP Cafe'!K91+'Pingju Zhuhai'!K91+'Room Service'!K91+Banquet!K92+Minibar!K79+STW!K67+'Main Kitchen'!K67+'F&amp;B Admin'!K67</f>
        <v>0</v>
      </c>
      <c r="L114" s="63">
        <f>'Lobby Lounge'!L91+'Fangfei Lounge'!L91+'Royal Court'!L91+'MP Cafe'!L91+'Pingju Zhuhai'!L91+'Room Service'!L91+Banquet!L92+Minibar!L79+STW!L67+'Main Kitchen'!L67+'F&amp;B Admin'!L67</f>
        <v>0</v>
      </c>
      <c r="M114" s="63">
        <f>'Lobby Lounge'!M91+'Fangfei Lounge'!M91+'Royal Court'!M91+'MP Cafe'!M91+'Pingju Zhuhai'!M91+'Room Service'!M91+Banquet!M92+Minibar!M79+STW!M67+'Main Kitchen'!M67+'F&amp;B Admin'!M67</f>
        <v>0</v>
      </c>
      <c r="N114" s="63">
        <f>'Lobby Lounge'!N91+'Fangfei Lounge'!N91+'Royal Court'!N91+'MP Cafe'!N91+'Pingju Zhuhai'!N91+'Room Service'!N91+Banquet!N92+Minibar!N79+STW!N67+'Main Kitchen'!N67+'F&amp;B Admin'!N67</f>
        <v>0</v>
      </c>
      <c r="O114" s="63">
        <f>'Lobby Lounge'!O91+'Fangfei Lounge'!O91+'Royal Court'!O91+'MP Cafe'!O91+'Pingju Zhuhai'!O91+'Room Service'!O91+Banquet!O92+Minibar!O79+STW!O67+'Main Kitchen'!O67+'F&amp;B Admin'!O67</f>
        <v>0</v>
      </c>
      <c r="P114" s="63">
        <f>'Lobby Lounge'!P91+'Fangfei Lounge'!P91+'Royal Court'!P91+'MP Cafe'!P91+'Pingju Zhuhai'!P91+'Room Service'!P91+Banquet!P92+Minibar!P79+STW!P67+'Main Kitchen'!P67+'F&amp;B Admin'!P67</f>
        <v>0</v>
      </c>
      <c r="Q114" s="134">
        <f t="shared" si="11"/>
        <v>0</v>
      </c>
      <c r="R114" s="134">
        <v>0</v>
      </c>
      <c r="S114" s="134">
        <f t="shared" si="12"/>
        <v>0</v>
      </c>
      <c r="U114" s="148"/>
      <c r="V114" s="40">
        <f t="shared" si="13"/>
        <v>0</v>
      </c>
    </row>
    <row r="115" spans="1:23" s="77" customFormat="1" ht="25.4" hidden="1" customHeight="1">
      <c r="A115" s="3" t="s">
        <v>246</v>
      </c>
      <c r="B115" s="3" t="s">
        <v>403</v>
      </c>
      <c r="C115" s="3"/>
      <c r="D115" s="26" t="s">
        <v>247</v>
      </c>
      <c r="E115" s="63">
        <f>'Lobby Lounge'!E92+'Fangfei Lounge'!E92+'Royal Court'!E92+'MP Cafe'!E92+'Pingju Zhuhai'!E92+'Room Service'!E92+Banquet!E93+Minibar!E80+STW!E68+'Main Kitchen'!E68+'F&amp;B Admin'!E68</f>
        <v>0</v>
      </c>
      <c r="F115" s="63">
        <f>'Lobby Lounge'!F92+'Fangfei Lounge'!F92+'Royal Court'!F92+'MP Cafe'!F92+'Pingju Zhuhai'!F92+'Room Service'!F92+Banquet!F93+Minibar!F80+STW!F68+'Main Kitchen'!F68+'F&amp;B Admin'!F68</f>
        <v>0</v>
      </c>
      <c r="G115" s="63">
        <f>'Lobby Lounge'!G92+'Fangfei Lounge'!G92+'Royal Court'!G92+'MP Cafe'!G92+'Pingju Zhuhai'!G92+'Room Service'!G92+Banquet!G93+Minibar!G80+STW!G68+'Main Kitchen'!G68+'F&amp;B Admin'!G68</f>
        <v>0</v>
      </c>
      <c r="H115" s="63">
        <f>'Lobby Lounge'!H92+'Fangfei Lounge'!H92+'Royal Court'!H92+'MP Cafe'!H92+'Pingju Zhuhai'!H92+'Room Service'!H92+Banquet!H93+Minibar!H80+STW!H68+'Main Kitchen'!H68+'F&amp;B Admin'!H68</f>
        <v>0</v>
      </c>
      <c r="I115" s="63">
        <f>'Lobby Lounge'!I92+'Fangfei Lounge'!I92+'Royal Court'!I92+'MP Cafe'!I92+'Pingju Zhuhai'!I92+'Room Service'!I92+Banquet!I93+Minibar!I80+STW!I68+'Main Kitchen'!I68+'F&amp;B Admin'!I68</f>
        <v>0</v>
      </c>
      <c r="J115" s="63">
        <f>'Lobby Lounge'!J92+'Fangfei Lounge'!J92+'Royal Court'!J92+'MP Cafe'!J92+'Pingju Zhuhai'!J92+'Room Service'!J92+Banquet!J93+Minibar!J80+STW!J68+'Main Kitchen'!J68+'F&amp;B Admin'!J68</f>
        <v>0</v>
      </c>
      <c r="K115" s="63">
        <f>'Lobby Lounge'!K92+'Fangfei Lounge'!K92+'Royal Court'!K92+'MP Cafe'!K92+'Pingju Zhuhai'!K92+'Room Service'!K92+Banquet!K93+Minibar!K80+STW!K68+'Main Kitchen'!K68+'F&amp;B Admin'!K68</f>
        <v>0</v>
      </c>
      <c r="L115" s="63">
        <f>'Lobby Lounge'!L92+'Fangfei Lounge'!L92+'Royal Court'!L92+'MP Cafe'!L92+'Pingju Zhuhai'!L92+'Room Service'!L92+Banquet!L93+Minibar!L80+STW!L68+'Main Kitchen'!L68+'F&amp;B Admin'!L68</f>
        <v>0</v>
      </c>
      <c r="M115" s="63">
        <f>'Lobby Lounge'!M92+'Fangfei Lounge'!M92+'Royal Court'!M92+'MP Cafe'!M92+'Pingju Zhuhai'!M92+'Room Service'!M92+Banquet!M93+Minibar!M80+STW!M68+'Main Kitchen'!M68+'F&amp;B Admin'!M68</f>
        <v>0</v>
      </c>
      <c r="N115" s="63">
        <f>'Lobby Lounge'!N92+'Fangfei Lounge'!N92+'Royal Court'!N92+'MP Cafe'!N92+'Pingju Zhuhai'!N92+'Room Service'!N92+Banquet!N93+Minibar!N80+STW!N68+'Main Kitchen'!N68+'F&amp;B Admin'!N68</f>
        <v>0</v>
      </c>
      <c r="O115" s="63">
        <f>'Lobby Lounge'!O92+'Fangfei Lounge'!O92+'Royal Court'!O92+'MP Cafe'!O92+'Pingju Zhuhai'!O92+'Room Service'!O92+Banquet!O93+Minibar!O80+STW!O68+'Main Kitchen'!O68+'F&amp;B Admin'!O68</f>
        <v>0</v>
      </c>
      <c r="P115" s="63">
        <f>'Lobby Lounge'!P92+'Fangfei Lounge'!P92+'Royal Court'!P92+'MP Cafe'!P92+'Pingju Zhuhai'!P92+'Room Service'!P92+Banquet!P93+Minibar!P80+STW!P68+'Main Kitchen'!P68+'F&amp;B Admin'!P68</f>
        <v>0</v>
      </c>
      <c r="Q115" s="134">
        <f t="shared" si="11"/>
        <v>0</v>
      </c>
      <c r="R115" s="134">
        <v>0</v>
      </c>
      <c r="S115" s="134">
        <f t="shared" si="12"/>
        <v>0</v>
      </c>
      <c r="U115" s="148"/>
      <c r="V115" s="40">
        <f t="shared" si="13"/>
        <v>0</v>
      </c>
    </row>
    <row r="116" spans="1:23" s="77" customFormat="1" ht="25.4" customHeight="1">
      <c r="A116" s="3" t="s">
        <v>248</v>
      </c>
      <c r="B116" s="3" t="s">
        <v>403</v>
      </c>
      <c r="C116" s="3"/>
      <c r="D116" s="26" t="s">
        <v>249</v>
      </c>
      <c r="E116" s="63">
        <f>'Lobby Lounge'!E93+'Fangfei Lounge'!E93+'Royal Court'!E93+'MP Cafe'!E93+'Pingju Zhuhai'!E93+'Room Service'!E93+Banquet!E94+Minibar!E81+STW!E69+'Main Kitchen'!E69+'F&amp;B Admin'!E69</f>
        <v>200</v>
      </c>
      <c r="F116" s="63">
        <f>'Lobby Lounge'!F93+'Fangfei Lounge'!F93+'Royal Court'!F93+'MP Cafe'!F93+'Pingju Zhuhai'!F93+'Room Service'!F93+Banquet!F94+Minibar!F81+STW!F69+'Main Kitchen'!F69+'F&amp;B Admin'!F69</f>
        <v>200</v>
      </c>
      <c r="G116" s="63">
        <f>'Lobby Lounge'!G93+'Fangfei Lounge'!G93+'Royal Court'!G93+'MP Cafe'!G93+'Pingju Zhuhai'!G93+'Room Service'!G93+Banquet!G94+Minibar!G81+STW!G69+'Main Kitchen'!G69+'F&amp;B Admin'!G69</f>
        <v>200</v>
      </c>
      <c r="H116" s="63">
        <f>'Lobby Lounge'!H93+'Fangfei Lounge'!H93+'Royal Court'!H93+'MP Cafe'!H93+'Pingju Zhuhai'!H93+'Room Service'!H93+Banquet!H94+Minibar!H81+STW!H69+'Main Kitchen'!H69+'F&amp;B Admin'!H69</f>
        <v>200</v>
      </c>
      <c r="I116" s="63">
        <f>'Lobby Lounge'!I93+'Fangfei Lounge'!I93+'Royal Court'!I93+'MP Cafe'!I93+'Pingju Zhuhai'!I93+'Room Service'!I93+Banquet!I94+Minibar!I81+STW!I69+'Main Kitchen'!I69+'F&amp;B Admin'!I69</f>
        <v>200</v>
      </c>
      <c r="J116" s="63">
        <f>'Lobby Lounge'!J93+'Fangfei Lounge'!J93+'Royal Court'!J93+'MP Cafe'!J93+'Pingju Zhuhai'!J93+'Room Service'!J93+Banquet!J94+Minibar!J81+STW!J69+'Main Kitchen'!J69+'F&amp;B Admin'!J69</f>
        <v>200</v>
      </c>
      <c r="K116" s="63">
        <f>'Lobby Lounge'!K93+'Fangfei Lounge'!K93+'Royal Court'!K93+'MP Cafe'!K93+'Pingju Zhuhai'!K93+'Room Service'!K93+Banquet!K94+Minibar!K81+STW!K69+'Main Kitchen'!K69+'F&amp;B Admin'!K69</f>
        <v>200</v>
      </c>
      <c r="L116" s="63">
        <f>'Lobby Lounge'!L93+'Fangfei Lounge'!L93+'Royal Court'!L93+'MP Cafe'!L93+'Pingju Zhuhai'!L93+'Room Service'!L93+Banquet!L94+Minibar!L81+STW!L69+'Main Kitchen'!L69+'F&amp;B Admin'!L69</f>
        <v>200</v>
      </c>
      <c r="M116" s="63">
        <f>'Lobby Lounge'!M93+'Fangfei Lounge'!M93+'Royal Court'!M93+'MP Cafe'!M93+'Pingju Zhuhai'!M93+'Room Service'!M93+Banquet!M94+Minibar!M81+STW!M69+'Main Kitchen'!M69+'F&amp;B Admin'!M69</f>
        <v>200</v>
      </c>
      <c r="N116" s="63">
        <f>'Lobby Lounge'!N93+'Fangfei Lounge'!N93+'Royal Court'!N93+'MP Cafe'!N93+'Pingju Zhuhai'!N93+'Room Service'!N93+Banquet!N94+Minibar!N81+STW!N69+'Main Kitchen'!N69+'F&amp;B Admin'!N69</f>
        <v>200</v>
      </c>
      <c r="O116" s="63">
        <f>'Lobby Lounge'!O93+'Fangfei Lounge'!O93+'Royal Court'!O93+'MP Cafe'!O93+'Pingju Zhuhai'!O93+'Room Service'!O93+Banquet!O94+Minibar!O81+STW!O69+'Main Kitchen'!O69+'F&amp;B Admin'!O69</f>
        <v>200</v>
      </c>
      <c r="P116" s="63">
        <f>'Lobby Lounge'!P93+'Fangfei Lounge'!P93+'Royal Court'!P93+'MP Cafe'!P93+'Pingju Zhuhai'!P93+'Room Service'!P93+Banquet!P94+Minibar!P81+STW!P69+'Main Kitchen'!P69+'F&amp;B Admin'!P69</f>
        <v>200</v>
      </c>
      <c r="Q116" s="134">
        <f t="shared" si="11"/>
        <v>2400</v>
      </c>
      <c r="R116" s="134">
        <v>2411.5700000000002</v>
      </c>
      <c r="S116" s="134">
        <f t="shared" si="12"/>
        <v>1.8520662113670563E-2</v>
      </c>
      <c r="U116" s="148"/>
      <c r="V116" s="40" t="e">
        <f t="shared" si="13"/>
        <v>#DIV/0!</v>
      </c>
    </row>
    <row r="117" spans="1:23" s="77" customFormat="1" ht="25.4" customHeight="1">
      <c r="A117" s="3" t="s">
        <v>250</v>
      </c>
      <c r="B117" s="3" t="s">
        <v>403</v>
      </c>
      <c r="C117" s="3"/>
      <c r="D117" s="26" t="s">
        <v>251</v>
      </c>
      <c r="E117" s="63">
        <f>'Lobby Lounge'!E94+'Fangfei Lounge'!E94+'Royal Court'!E94+'MP Cafe'!E94+'Pingju Zhuhai'!E94+'Room Service'!E94+Banquet!E95+Minibar!E82+STW!E70+'Main Kitchen'!E70+'F&amp;B Admin'!E70</f>
        <v>1430</v>
      </c>
      <c r="F117" s="63">
        <f>'Lobby Lounge'!F94+'Fangfei Lounge'!F94+'Royal Court'!F94+'MP Cafe'!F94+'Pingju Zhuhai'!F94+'Room Service'!F94+Banquet!F95+Minibar!F82+STW!F70+'Main Kitchen'!F70+'F&amp;B Admin'!F70</f>
        <v>1430</v>
      </c>
      <c r="G117" s="63">
        <f>'Lobby Lounge'!G94+'Fangfei Lounge'!G94+'Royal Court'!G94+'MP Cafe'!G94+'Pingju Zhuhai'!G94+'Room Service'!G94+Banquet!G95+Minibar!G82+STW!G70+'Main Kitchen'!G70+'F&amp;B Admin'!G70</f>
        <v>1430</v>
      </c>
      <c r="H117" s="63">
        <f>'Lobby Lounge'!H94+'Fangfei Lounge'!H94+'Royal Court'!H94+'MP Cafe'!H94+'Pingju Zhuhai'!H94+'Room Service'!H94+Banquet!H95+Minibar!H82+STW!H70+'Main Kitchen'!H70+'F&amp;B Admin'!H70</f>
        <v>1430</v>
      </c>
      <c r="I117" s="63">
        <f>'Lobby Lounge'!I94+'Fangfei Lounge'!I94+'Royal Court'!I94+'MP Cafe'!I94+'Pingju Zhuhai'!I94+'Room Service'!I94+Banquet!I95+Minibar!I82+STW!I70+'Main Kitchen'!I70+'F&amp;B Admin'!I70</f>
        <v>1430</v>
      </c>
      <c r="J117" s="63">
        <f>'Lobby Lounge'!J94+'Fangfei Lounge'!J94+'Royal Court'!J94+'MP Cafe'!J94+'Pingju Zhuhai'!J94+'Room Service'!J94+Banquet!J95+Minibar!J82+STW!J70+'Main Kitchen'!J70+'F&amp;B Admin'!J70</f>
        <v>1430</v>
      </c>
      <c r="K117" s="63">
        <f>'Lobby Lounge'!K94+'Fangfei Lounge'!K94+'Royal Court'!K94+'MP Cafe'!K94+'Pingju Zhuhai'!K94+'Room Service'!K94+Banquet!K95+Minibar!K82+STW!K70+'Main Kitchen'!K70+'F&amp;B Admin'!K70</f>
        <v>1430</v>
      </c>
      <c r="L117" s="63">
        <f>'Lobby Lounge'!L94+'Fangfei Lounge'!L94+'Royal Court'!L94+'MP Cafe'!L94+'Pingju Zhuhai'!L94+'Room Service'!L94+Banquet!L95+Minibar!L82+STW!L70+'Main Kitchen'!L70+'F&amp;B Admin'!L70</f>
        <v>1430</v>
      </c>
      <c r="M117" s="63">
        <f>'Lobby Lounge'!M94+'Fangfei Lounge'!M94+'Royal Court'!M94+'MP Cafe'!M94+'Pingju Zhuhai'!M94+'Room Service'!M94+Banquet!M95+Minibar!M82+STW!M70+'Main Kitchen'!M70+'F&amp;B Admin'!M70</f>
        <v>1430</v>
      </c>
      <c r="N117" s="63">
        <f>'Lobby Lounge'!N94+'Fangfei Lounge'!N94+'Royal Court'!N94+'MP Cafe'!N94+'Pingju Zhuhai'!N94+'Room Service'!N94+Banquet!N95+Minibar!N82+STW!N70+'Main Kitchen'!N70+'F&amp;B Admin'!N70</f>
        <v>1430</v>
      </c>
      <c r="O117" s="63">
        <f>'Lobby Lounge'!O94+'Fangfei Lounge'!O94+'Royal Court'!O94+'MP Cafe'!O94+'Pingju Zhuhai'!O94+'Room Service'!O94+Banquet!O95+Minibar!O82+STW!O70+'Main Kitchen'!O70+'F&amp;B Admin'!O70</f>
        <v>1430</v>
      </c>
      <c r="P117" s="63">
        <f>'Lobby Lounge'!P94+'Fangfei Lounge'!P94+'Royal Court'!P94+'MP Cafe'!P94+'Pingju Zhuhai'!P94+'Room Service'!P94+Banquet!P95+Minibar!P82+STW!P70+'Main Kitchen'!P70+'F&amp;B Admin'!P70</f>
        <v>1430</v>
      </c>
      <c r="Q117" s="134">
        <f t="shared" si="11"/>
        <v>17160</v>
      </c>
      <c r="R117" s="134">
        <v>22104.07</v>
      </c>
      <c r="S117" s="134">
        <f t="shared" si="12"/>
        <v>0.13242273411274452</v>
      </c>
      <c r="U117" s="148"/>
      <c r="V117" s="40" t="e">
        <f t="shared" si="13"/>
        <v>#DIV/0!</v>
      </c>
    </row>
    <row r="118" spans="1:23" s="77" customFormat="1" ht="25.4" customHeight="1">
      <c r="A118" s="3" t="s">
        <v>252</v>
      </c>
      <c r="B118" s="3" t="s">
        <v>403</v>
      </c>
      <c r="C118" s="3"/>
      <c r="D118" s="26" t="s">
        <v>253</v>
      </c>
      <c r="E118" s="63">
        <f>'Lobby Lounge'!E95+'Fangfei Lounge'!E95+'Royal Court'!E95+'MP Cafe'!E95+'Pingju Zhuhai'!E95+'Room Service'!E95+Banquet!E96+Minibar!E83+STW!E71+'Main Kitchen'!E71+'F&amp;B Admin'!E71</f>
        <v>39168.130000000012</v>
      </c>
      <c r="F118" s="63">
        <f>'Lobby Lounge'!F95+'Fangfei Lounge'!F95+'Royal Court'!F95+'MP Cafe'!F95+'Pingju Zhuhai'!F95+'Room Service'!F95+Banquet!F96+Minibar!F83+STW!F71+'Main Kitchen'!F71+'F&amp;B Admin'!F71</f>
        <v>33156.899999999987</v>
      </c>
      <c r="G118" s="63">
        <f>'Lobby Lounge'!G95+'Fangfei Lounge'!G95+'Royal Court'!G95+'MP Cafe'!G95+'Pingju Zhuhai'!G95+'Room Service'!G95+Banquet!G96+Minibar!G83+STW!G71+'Main Kitchen'!G71+'F&amp;B Admin'!G71</f>
        <v>34306.160000000003</v>
      </c>
      <c r="H118" s="63">
        <f>'Lobby Lounge'!H95+'Fangfei Lounge'!H95+'Royal Court'!H95+'MP Cafe'!H95+'Pingju Zhuhai'!H95+'Room Service'!H95+Banquet!H96+Minibar!H83+STW!H71+'Main Kitchen'!H71+'F&amp;B Admin'!H71</f>
        <v>35176.130000000005</v>
      </c>
      <c r="I118" s="63">
        <f>'Lobby Lounge'!I95+'Fangfei Lounge'!I95+'Royal Court'!I95+'MP Cafe'!I95+'Pingju Zhuhai'!I95+'Room Service'!I95+Banquet!I96+Minibar!I83+STW!I71+'Main Kitchen'!I71+'F&amp;B Admin'!I71</f>
        <v>36916.18</v>
      </c>
      <c r="J118" s="63">
        <f>'Lobby Lounge'!J95+'Fangfei Lounge'!J95+'Royal Court'!J95+'MP Cafe'!J95+'Pingju Zhuhai'!J95+'Room Service'!J95+Banquet!J96+Minibar!J83+STW!J71+'Main Kitchen'!J71+'F&amp;B Admin'!J71</f>
        <v>34699.050000000003</v>
      </c>
      <c r="K118" s="63">
        <f>'Lobby Lounge'!K95+'Fangfei Lounge'!K95+'Royal Court'!K95+'MP Cafe'!K95+'Pingju Zhuhai'!K95+'Room Service'!K95+Banquet!K96+Minibar!K83+STW!K71+'Main Kitchen'!K71+'F&amp;B Admin'!K71</f>
        <v>34402.189999999995</v>
      </c>
      <c r="L118" s="63">
        <f>'Lobby Lounge'!L95+'Fangfei Lounge'!L95+'Royal Court'!L95+'MP Cafe'!L95+'Pingju Zhuhai'!L95+'Room Service'!L95+Banquet!L96+Minibar!L83+STW!L71+'Main Kitchen'!L71+'F&amp;B Admin'!L71</f>
        <v>34069.530000000006</v>
      </c>
      <c r="M118" s="63">
        <f>'Lobby Lounge'!M95+'Fangfei Lounge'!M95+'Royal Court'!M95+'MP Cafe'!M95+'Pingju Zhuhai'!M95+'Room Service'!M95+Banquet!M96+Minibar!M83+STW!M71+'Main Kitchen'!M71+'F&amp;B Admin'!M71</f>
        <v>34768.560000000005</v>
      </c>
      <c r="N118" s="63">
        <f>'Lobby Lounge'!N95+'Fangfei Lounge'!N95+'Royal Court'!N95+'MP Cafe'!N95+'Pingju Zhuhai'!N95+'Room Service'!N95+Banquet!N96+Minibar!N83+STW!N71+'Main Kitchen'!N71+'F&amp;B Admin'!N71</f>
        <v>39364.509999999995</v>
      </c>
      <c r="O118" s="63">
        <f>'Lobby Lounge'!O95+'Fangfei Lounge'!O95+'Royal Court'!O95+'MP Cafe'!O95+'Pingju Zhuhai'!O95+'Room Service'!O95+Banquet!O96+Minibar!O83+STW!O71+'Main Kitchen'!O71+'F&amp;B Admin'!O71</f>
        <v>36627.74</v>
      </c>
      <c r="P118" s="63">
        <f>'Lobby Lounge'!P95+'Fangfei Lounge'!P95+'Royal Court'!P95+'MP Cafe'!P95+'Pingju Zhuhai'!P95+'Room Service'!P95+Banquet!P96+Minibar!P83+STW!P71+'Main Kitchen'!P71+'F&amp;B Admin'!P71</f>
        <v>36696.049999999996</v>
      </c>
      <c r="Q118" s="134">
        <f t="shared" si="11"/>
        <v>429351.13</v>
      </c>
      <c r="R118" s="134">
        <v>308732.89</v>
      </c>
      <c r="S118" s="134">
        <f t="shared" si="12"/>
        <v>3.3132780028552689</v>
      </c>
      <c r="U118" s="148"/>
      <c r="V118" s="40" t="e">
        <f t="shared" si="13"/>
        <v>#DIV/0!</v>
      </c>
      <c r="W118" s="77">
        <f>+'F&amp;B Admin'!Q71</f>
        <v>8775.9600000000009</v>
      </c>
    </row>
    <row r="119" spans="1:23" s="77" customFormat="1" ht="25.4" hidden="1" customHeight="1">
      <c r="A119" s="3" t="s">
        <v>254</v>
      </c>
      <c r="B119" s="3" t="s">
        <v>403</v>
      </c>
      <c r="C119" s="3"/>
      <c r="D119" s="26" t="s">
        <v>255</v>
      </c>
      <c r="E119" s="63">
        <f>'Lobby Lounge'!E96+'Fangfei Lounge'!E96+'Royal Court'!E96+'MP Cafe'!E96+'Pingju Zhuhai'!E96+'Room Service'!E96+Banquet!E97+Minibar!E84+STW!E72+'Main Kitchen'!E72+'F&amp;B Admin'!E72</f>
        <v>0</v>
      </c>
      <c r="F119" s="63">
        <f>'Lobby Lounge'!F96+'Fangfei Lounge'!F96+'Royal Court'!F96+'MP Cafe'!F96+'Pingju Zhuhai'!F96+'Room Service'!F96+Banquet!F97+Minibar!F84+STW!F72+'Main Kitchen'!F72+'F&amp;B Admin'!F72</f>
        <v>0</v>
      </c>
      <c r="G119" s="63">
        <f>'Lobby Lounge'!G96+'Fangfei Lounge'!G96+'Royal Court'!G96+'MP Cafe'!G96+'Pingju Zhuhai'!G96+'Room Service'!G96+Banquet!G97+Minibar!G84+STW!G72+'Main Kitchen'!G72+'F&amp;B Admin'!G72</f>
        <v>0</v>
      </c>
      <c r="H119" s="63">
        <f>'Lobby Lounge'!H96+'Fangfei Lounge'!H96+'Royal Court'!H96+'MP Cafe'!H96+'Pingju Zhuhai'!H96+'Room Service'!H96+Banquet!H97+Minibar!H84+STW!H72+'Main Kitchen'!H72+'F&amp;B Admin'!H72</f>
        <v>0</v>
      </c>
      <c r="I119" s="63">
        <f>'Lobby Lounge'!I96+'Fangfei Lounge'!I96+'Royal Court'!I96+'MP Cafe'!I96+'Pingju Zhuhai'!I96+'Room Service'!I96+Banquet!I97+Minibar!I84+STW!I72+'Main Kitchen'!I72+'F&amp;B Admin'!I72</f>
        <v>0</v>
      </c>
      <c r="J119" s="63">
        <f>'Lobby Lounge'!J96+'Fangfei Lounge'!J96+'Royal Court'!J96+'MP Cafe'!J96+'Pingju Zhuhai'!J96+'Room Service'!J96+Banquet!J97+Minibar!J84+STW!J72+'Main Kitchen'!J72+'F&amp;B Admin'!J72</f>
        <v>0</v>
      </c>
      <c r="K119" s="63">
        <f>'Lobby Lounge'!K96+'Fangfei Lounge'!K96+'Royal Court'!K96+'MP Cafe'!K96+'Pingju Zhuhai'!K96+'Room Service'!K96+Banquet!K97+Minibar!K84+STW!K72+'Main Kitchen'!K72+'F&amp;B Admin'!K72</f>
        <v>0</v>
      </c>
      <c r="L119" s="63">
        <f>'Lobby Lounge'!L96+'Fangfei Lounge'!L96+'Royal Court'!L96+'MP Cafe'!L96+'Pingju Zhuhai'!L96+'Room Service'!L96+Banquet!L97+Minibar!L84+STW!L72+'Main Kitchen'!L72+'F&amp;B Admin'!L72</f>
        <v>0</v>
      </c>
      <c r="M119" s="63">
        <f>'Lobby Lounge'!M96+'Fangfei Lounge'!M96+'Royal Court'!M96+'MP Cafe'!M96+'Pingju Zhuhai'!M96+'Room Service'!M96+Banquet!M97+Minibar!M84+STW!M72+'Main Kitchen'!M72+'F&amp;B Admin'!M72</f>
        <v>0</v>
      </c>
      <c r="N119" s="63">
        <f>'Lobby Lounge'!N96+'Fangfei Lounge'!N96+'Royal Court'!N96+'MP Cafe'!N96+'Pingju Zhuhai'!N96+'Room Service'!N96+Banquet!N97+Minibar!N84+STW!N72+'Main Kitchen'!N72+'F&amp;B Admin'!N72</f>
        <v>0</v>
      </c>
      <c r="O119" s="63">
        <f>'Lobby Lounge'!O96+'Fangfei Lounge'!O96+'Royal Court'!O96+'MP Cafe'!O96+'Pingju Zhuhai'!O96+'Room Service'!O96+Banquet!O97+Minibar!O84+STW!O72+'Main Kitchen'!O72+'F&amp;B Admin'!O72</f>
        <v>0</v>
      </c>
      <c r="P119" s="63">
        <f>'Lobby Lounge'!P96+'Fangfei Lounge'!P96+'Royal Court'!P96+'MP Cafe'!P96+'Pingju Zhuhai'!P96+'Room Service'!P96+Banquet!P97+Minibar!P84+STW!P72+'Main Kitchen'!P72+'F&amp;B Admin'!P72</f>
        <v>0</v>
      </c>
      <c r="Q119" s="134">
        <f t="shared" si="11"/>
        <v>0</v>
      </c>
      <c r="R119" s="134">
        <v>24981.51</v>
      </c>
      <c r="S119" s="134">
        <f t="shared" si="12"/>
        <v>0</v>
      </c>
      <c r="U119" s="148"/>
      <c r="V119" s="40">
        <f t="shared" si="13"/>
        <v>0</v>
      </c>
    </row>
    <row r="120" spans="1:23" s="77" customFormat="1" ht="25.4" customHeight="1">
      <c r="A120" s="3" t="s">
        <v>256</v>
      </c>
      <c r="B120" s="3" t="s">
        <v>403</v>
      </c>
      <c r="C120" s="3"/>
      <c r="D120" s="26" t="s">
        <v>257</v>
      </c>
      <c r="E120" s="63">
        <f>'Lobby Lounge'!E97+'Fangfei Lounge'!E97+'Royal Court'!E97+'MP Cafe'!E97+'Pingju Zhuhai'!E97+'Room Service'!E97+Banquet!E98+Minibar!E85+STW!E73+'Main Kitchen'!E73+'F&amp;B Admin'!E73</f>
        <v>1000</v>
      </c>
      <c r="F120" s="63">
        <f>'Lobby Lounge'!F97+'Fangfei Lounge'!F97+'Royal Court'!F97+'MP Cafe'!F97+'Pingju Zhuhai'!F97+'Room Service'!F97+Banquet!F98+Minibar!F85+STW!F73+'Main Kitchen'!F73+'F&amp;B Admin'!F73</f>
        <v>1000</v>
      </c>
      <c r="G120" s="63">
        <f>'Lobby Lounge'!G97+'Fangfei Lounge'!G97+'Royal Court'!G97+'MP Cafe'!G97+'Pingju Zhuhai'!G97+'Room Service'!G97+Banquet!G98+Minibar!G85+STW!G73+'Main Kitchen'!G73+'F&amp;B Admin'!G73</f>
        <v>1000</v>
      </c>
      <c r="H120" s="63">
        <f>'Lobby Lounge'!H97+'Fangfei Lounge'!H97+'Royal Court'!H97+'MP Cafe'!H97+'Pingju Zhuhai'!H97+'Room Service'!H97+Banquet!H98+Minibar!H85+STW!H73+'Main Kitchen'!H73+'F&amp;B Admin'!H73</f>
        <v>1000</v>
      </c>
      <c r="I120" s="63">
        <f>'Lobby Lounge'!I97+'Fangfei Lounge'!I97+'Royal Court'!I97+'MP Cafe'!I97+'Pingju Zhuhai'!I97+'Room Service'!I97+Banquet!I98+Minibar!I85+STW!I73+'Main Kitchen'!I73+'F&amp;B Admin'!I73</f>
        <v>1000</v>
      </c>
      <c r="J120" s="63">
        <f>'Lobby Lounge'!J97+'Fangfei Lounge'!J97+'Royal Court'!J97+'MP Cafe'!J97+'Pingju Zhuhai'!J97+'Room Service'!J97+Banquet!J98+Minibar!J85+STW!J73+'Main Kitchen'!J73+'F&amp;B Admin'!J73</f>
        <v>1000</v>
      </c>
      <c r="K120" s="63">
        <f>'Lobby Lounge'!K97+'Fangfei Lounge'!K97+'Royal Court'!K97+'MP Cafe'!K97+'Pingju Zhuhai'!K97+'Room Service'!K97+Banquet!K98+Minibar!K85+STW!K73+'Main Kitchen'!K73+'F&amp;B Admin'!K73</f>
        <v>1000</v>
      </c>
      <c r="L120" s="63">
        <f>'Lobby Lounge'!L97+'Fangfei Lounge'!L97+'Royal Court'!L97+'MP Cafe'!L97+'Pingju Zhuhai'!L97+'Room Service'!L97+Banquet!L98+Minibar!L85+STW!L73+'Main Kitchen'!L73+'F&amp;B Admin'!L73</f>
        <v>1000</v>
      </c>
      <c r="M120" s="63">
        <f>'Lobby Lounge'!M97+'Fangfei Lounge'!M97+'Royal Court'!M97+'MP Cafe'!M97+'Pingju Zhuhai'!M97+'Room Service'!M97+Banquet!M98+Minibar!M85+STW!M73+'Main Kitchen'!M73+'F&amp;B Admin'!M73</f>
        <v>1000</v>
      </c>
      <c r="N120" s="63">
        <f>'Lobby Lounge'!N97+'Fangfei Lounge'!N97+'Royal Court'!N97+'MP Cafe'!N97+'Pingju Zhuhai'!N97+'Room Service'!N97+Banquet!N98+Minibar!N85+STW!N73+'Main Kitchen'!N73+'F&amp;B Admin'!N73</f>
        <v>1000</v>
      </c>
      <c r="O120" s="63">
        <f>'Lobby Lounge'!O97+'Fangfei Lounge'!O97+'Royal Court'!O97+'MP Cafe'!O97+'Pingju Zhuhai'!O97+'Room Service'!O97+Banquet!O98+Minibar!O85+STW!O73+'Main Kitchen'!O73+'F&amp;B Admin'!O73</f>
        <v>1000</v>
      </c>
      <c r="P120" s="63">
        <f>'Lobby Lounge'!P97+'Fangfei Lounge'!P97+'Royal Court'!P97+'MP Cafe'!P97+'Pingju Zhuhai'!P97+'Room Service'!P97+Banquet!P98+Minibar!P85+STW!P73+'Main Kitchen'!P73+'F&amp;B Admin'!P73</f>
        <v>1000</v>
      </c>
      <c r="Q120" s="134">
        <f t="shared" si="11"/>
        <v>12000</v>
      </c>
      <c r="R120" s="134">
        <v>36880.5</v>
      </c>
      <c r="S120" s="134">
        <f t="shared" si="12"/>
        <v>9.2603310568352817E-2</v>
      </c>
      <c r="U120" s="148"/>
      <c r="V120" s="40" t="e">
        <f t="shared" si="13"/>
        <v>#DIV/0!</v>
      </c>
      <c r="W120" s="77">
        <f>+'Fangfei Lounge'!Q95</f>
        <v>104755.9</v>
      </c>
    </row>
    <row r="121" spans="1:23" s="77" customFormat="1" ht="25.4" hidden="1" customHeight="1">
      <c r="A121" s="3" t="s">
        <v>258</v>
      </c>
      <c r="B121" s="3" t="s">
        <v>403</v>
      </c>
      <c r="C121" s="3"/>
      <c r="D121" s="26" t="s">
        <v>259</v>
      </c>
      <c r="E121" s="63">
        <f>'Lobby Lounge'!E98+'Fangfei Lounge'!E98+'Royal Court'!E98+'MP Cafe'!E98+'Pingju Zhuhai'!E98+'Room Service'!E98+Banquet!E99+Minibar!E86+STW!E74+'Main Kitchen'!E74+'F&amp;B Admin'!E74</f>
        <v>0</v>
      </c>
      <c r="F121" s="63">
        <f>'Lobby Lounge'!F98+'Fangfei Lounge'!F98+'Royal Court'!F98+'MP Cafe'!F98+'Pingju Zhuhai'!F98+'Room Service'!F98+Banquet!F99+Minibar!F86+STW!F74+'Main Kitchen'!F74+'F&amp;B Admin'!F74</f>
        <v>0</v>
      </c>
      <c r="G121" s="63">
        <f>'Lobby Lounge'!G98+'Fangfei Lounge'!G98+'Royal Court'!G98+'MP Cafe'!G98+'Pingju Zhuhai'!G98+'Room Service'!G98+Banquet!G99+Minibar!G86+STW!G74+'Main Kitchen'!G74+'F&amp;B Admin'!G74</f>
        <v>0</v>
      </c>
      <c r="H121" s="63">
        <f>'Lobby Lounge'!H98+'Fangfei Lounge'!H98+'Royal Court'!H98+'MP Cafe'!H98+'Pingju Zhuhai'!H98+'Room Service'!H98+Banquet!H99+Minibar!H86+STW!H74+'Main Kitchen'!H74+'F&amp;B Admin'!H74</f>
        <v>0</v>
      </c>
      <c r="I121" s="63">
        <f>'Lobby Lounge'!I98+'Fangfei Lounge'!I98+'Royal Court'!I98+'MP Cafe'!I98+'Pingju Zhuhai'!I98+'Room Service'!I98+Banquet!I99+Minibar!I86+STW!I74+'Main Kitchen'!I74+'F&amp;B Admin'!I74</f>
        <v>0</v>
      </c>
      <c r="J121" s="63">
        <f>'Lobby Lounge'!J98+'Fangfei Lounge'!J98+'Royal Court'!J98+'MP Cafe'!J98+'Pingju Zhuhai'!J98+'Room Service'!J98+Banquet!J99+Minibar!J86+STW!J74+'Main Kitchen'!J74+'F&amp;B Admin'!J74</f>
        <v>0</v>
      </c>
      <c r="K121" s="63">
        <f>'Lobby Lounge'!K98+'Fangfei Lounge'!K98+'Royal Court'!K98+'MP Cafe'!K98+'Pingju Zhuhai'!K98+'Room Service'!K98+Banquet!K99+Minibar!K86+STW!K74+'Main Kitchen'!K74+'F&amp;B Admin'!K74</f>
        <v>0</v>
      </c>
      <c r="L121" s="63">
        <f>'Lobby Lounge'!L98+'Fangfei Lounge'!L98+'Royal Court'!L98+'MP Cafe'!L98+'Pingju Zhuhai'!L98+'Room Service'!L98+Banquet!L99+Minibar!L86+STW!L74+'Main Kitchen'!L74+'F&amp;B Admin'!L74</f>
        <v>0</v>
      </c>
      <c r="M121" s="63">
        <f>'Lobby Lounge'!M98+'Fangfei Lounge'!M98+'Royal Court'!M98+'MP Cafe'!M98+'Pingju Zhuhai'!M98+'Room Service'!M98+Banquet!M99+Minibar!M86+STW!M74+'Main Kitchen'!M74+'F&amp;B Admin'!M74</f>
        <v>0</v>
      </c>
      <c r="N121" s="63">
        <f>'Lobby Lounge'!N98+'Fangfei Lounge'!N98+'Royal Court'!N98+'MP Cafe'!N98+'Pingju Zhuhai'!N98+'Room Service'!N98+Banquet!N99+Minibar!N86+STW!N74+'Main Kitchen'!N74+'F&amp;B Admin'!N74</f>
        <v>0</v>
      </c>
      <c r="O121" s="63">
        <f>'Lobby Lounge'!O98+'Fangfei Lounge'!O98+'Royal Court'!O98+'MP Cafe'!O98+'Pingju Zhuhai'!O98+'Room Service'!O98+Banquet!O99+Minibar!O86+STW!O74+'Main Kitchen'!O74+'F&amp;B Admin'!O74</f>
        <v>0</v>
      </c>
      <c r="P121" s="63">
        <f>'Lobby Lounge'!P98+'Fangfei Lounge'!P98+'Royal Court'!P98+'MP Cafe'!P98+'Pingju Zhuhai'!P98+'Room Service'!P98+Banquet!P99+Minibar!P86+STW!P74+'Main Kitchen'!P74+'F&amp;B Admin'!P74</f>
        <v>0</v>
      </c>
      <c r="Q121" s="134">
        <f t="shared" si="11"/>
        <v>0</v>
      </c>
      <c r="R121" s="134">
        <v>0</v>
      </c>
      <c r="S121" s="134">
        <f t="shared" si="12"/>
        <v>0</v>
      </c>
      <c r="U121" s="148"/>
      <c r="V121" s="40">
        <f t="shared" si="13"/>
        <v>0</v>
      </c>
    </row>
    <row r="122" spans="1:23" s="77" customFormat="1" ht="25.4" customHeight="1">
      <c r="A122" s="3" t="s">
        <v>260</v>
      </c>
      <c r="B122" s="3" t="s">
        <v>403</v>
      </c>
      <c r="C122" s="3"/>
      <c r="D122" s="26" t="s">
        <v>261</v>
      </c>
      <c r="E122" s="63">
        <f>'Lobby Lounge'!E99+'Fangfei Lounge'!E99+'Royal Court'!E99+'MP Cafe'!E99+'Pingju Zhuhai'!E99+'Room Service'!E99+Banquet!E100+Minibar!E87+STW!E75+'Main Kitchen'!E75+'F&amp;B Admin'!E75</f>
        <v>0</v>
      </c>
      <c r="F122" s="63">
        <f>'Lobby Lounge'!F99+'Fangfei Lounge'!F99+'Royal Court'!F99+'MP Cafe'!F99+'Pingju Zhuhai'!F99+'Room Service'!F99+Banquet!F100+Minibar!F87+STW!F75+'Main Kitchen'!F75+'F&amp;B Admin'!F75</f>
        <v>0</v>
      </c>
      <c r="G122" s="63">
        <f>'Lobby Lounge'!G99+'Fangfei Lounge'!G99+'Royal Court'!G99+'MP Cafe'!G99+'Pingju Zhuhai'!G99+'Room Service'!G99+Banquet!G100+Minibar!G87+STW!G75+'Main Kitchen'!G75+'F&amp;B Admin'!G75</f>
        <v>0</v>
      </c>
      <c r="H122" s="63">
        <f>'Lobby Lounge'!H99+'Fangfei Lounge'!H99+'Royal Court'!H99+'MP Cafe'!H99+'Pingju Zhuhai'!H99+'Room Service'!H99+Banquet!H100+Minibar!H87+STW!H75+'Main Kitchen'!H75+'F&amp;B Admin'!H75</f>
        <v>0</v>
      </c>
      <c r="I122" s="63">
        <f>'Lobby Lounge'!I99+'Fangfei Lounge'!I99+'Royal Court'!I99+'MP Cafe'!I99+'Pingju Zhuhai'!I99+'Room Service'!I99+Banquet!I100+Minibar!I87+STW!I75+'Main Kitchen'!I75+'F&amp;B Admin'!I75</f>
        <v>0</v>
      </c>
      <c r="J122" s="63">
        <f>'Lobby Lounge'!J99+'Fangfei Lounge'!J99+'Royal Court'!J99+'MP Cafe'!J99+'Pingju Zhuhai'!J99+'Room Service'!J99+Banquet!J100+Minibar!J87+STW!J75+'Main Kitchen'!J75+'F&amp;B Admin'!J75</f>
        <v>0</v>
      </c>
      <c r="K122" s="63">
        <f>'Lobby Lounge'!K99+'Fangfei Lounge'!K99+'Royal Court'!K99+'MP Cafe'!K99+'Pingju Zhuhai'!K99+'Room Service'!K99+Banquet!K100+Minibar!K87+STW!K75+'Main Kitchen'!K75+'F&amp;B Admin'!K75</f>
        <v>0</v>
      </c>
      <c r="L122" s="63">
        <f>'Lobby Lounge'!L99+'Fangfei Lounge'!L99+'Royal Court'!L99+'MP Cafe'!L99+'Pingju Zhuhai'!L99+'Room Service'!L99+Banquet!L100+Minibar!L87+STW!L75+'Main Kitchen'!L75+'F&amp;B Admin'!L75</f>
        <v>0</v>
      </c>
      <c r="M122" s="63">
        <f>'Lobby Lounge'!M99+'Fangfei Lounge'!M99+'Royal Court'!M99+'MP Cafe'!M99+'Pingju Zhuhai'!M99+'Room Service'!M99+Banquet!M100+Minibar!M87+STW!M75+'Main Kitchen'!M75+'F&amp;B Admin'!M75</f>
        <v>0</v>
      </c>
      <c r="N122" s="63">
        <f>'Lobby Lounge'!N99+'Fangfei Lounge'!N99+'Royal Court'!N99+'MP Cafe'!N99+'Pingju Zhuhai'!N99+'Room Service'!N99+Banquet!N100+Minibar!N87+STW!N75+'Main Kitchen'!N75+'F&amp;B Admin'!N75</f>
        <v>0</v>
      </c>
      <c r="O122" s="63">
        <f>'Lobby Lounge'!O99+'Fangfei Lounge'!O99+'Royal Court'!O99+'MP Cafe'!O99+'Pingju Zhuhai'!O99+'Room Service'!O99+Banquet!O100+Minibar!O87+STW!O75+'Main Kitchen'!O75+'F&amp;B Admin'!O75</f>
        <v>0</v>
      </c>
      <c r="P122" s="63">
        <f>'Lobby Lounge'!P99+'Fangfei Lounge'!P99+'Royal Court'!P99+'MP Cafe'!P99+'Pingju Zhuhai'!P99+'Room Service'!P99+Banquet!P100+Minibar!P87+STW!P75+'Main Kitchen'!P75+'F&amp;B Admin'!P75</f>
        <v>0</v>
      </c>
      <c r="Q122" s="134">
        <f t="shared" si="11"/>
        <v>0</v>
      </c>
      <c r="R122" s="134">
        <v>2265.8000000000002</v>
      </c>
      <c r="S122" s="134">
        <f t="shared" si="12"/>
        <v>0</v>
      </c>
      <c r="U122" s="148"/>
      <c r="V122" s="40"/>
      <c r="W122" s="77">
        <f>+'Royal Court'!Q95</f>
        <v>101667.46</v>
      </c>
    </row>
    <row r="123" spans="1:23" s="77" customFormat="1" ht="25.4" customHeight="1">
      <c r="A123" s="3" t="s">
        <v>262</v>
      </c>
      <c r="B123" s="3" t="s">
        <v>403</v>
      </c>
      <c r="C123" s="3"/>
      <c r="D123" s="26" t="s">
        <v>263</v>
      </c>
      <c r="E123" s="63">
        <f>'Lobby Lounge'!E100+'Fangfei Lounge'!E100+'Royal Court'!E100+'MP Cafe'!E100+'Pingju Zhuhai'!E100+'Room Service'!E100+Banquet!E101+Minibar!E88+STW!E76+'Main Kitchen'!E76+'F&amp;B Admin'!E76</f>
        <v>0</v>
      </c>
      <c r="F123" s="63">
        <f>'Lobby Lounge'!F100+'Fangfei Lounge'!F100+'Royal Court'!F100+'MP Cafe'!F100+'Pingju Zhuhai'!F100+'Room Service'!F100+Banquet!F101+Minibar!F88+STW!F76+'Main Kitchen'!F76+'F&amp;B Admin'!F76</f>
        <v>0</v>
      </c>
      <c r="G123" s="63">
        <f>'Lobby Lounge'!G100+'Fangfei Lounge'!G100+'Royal Court'!G100+'MP Cafe'!G100+'Pingju Zhuhai'!G100+'Room Service'!G100+Banquet!G101+Minibar!G88+STW!G76+'Main Kitchen'!G76+'F&amp;B Admin'!G76</f>
        <v>10000</v>
      </c>
      <c r="H123" s="63">
        <f>'Lobby Lounge'!H100+'Fangfei Lounge'!H100+'Royal Court'!H100+'MP Cafe'!H100+'Pingju Zhuhai'!H100+'Room Service'!H100+Banquet!H101+Minibar!H88+STW!H76+'Main Kitchen'!H76+'F&amp;B Admin'!H76</f>
        <v>1000</v>
      </c>
      <c r="I123" s="63">
        <f>'Lobby Lounge'!I100+'Fangfei Lounge'!I100+'Royal Court'!I100+'MP Cafe'!I100+'Pingju Zhuhai'!I100+'Room Service'!I100+Banquet!I101+Minibar!I88+STW!I76+'Main Kitchen'!I76+'F&amp;B Admin'!I76</f>
        <v>1000</v>
      </c>
      <c r="J123" s="63">
        <f>'Lobby Lounge'!J100+'Fangfei Lounge'!J100+'Royal Court'!J100+'MP Cafe'!J100+'Pingju Zhuhai'!J100+'Room Service'!J100+Banquet!J101+Minibar!J88+STW!J76+'Main Kitchen'!J76+'F&amp;B Admin'!J76</f>
        <v>0</v>
      </c>
      <c r="K123" s="63">
        <f>'Lobby Lounge'!K100+'Fangfei Lounge'!K100+'Royal Court'!K100+'MP Cafe'!K100+'Pingju Zhuhai'!K100+'Room Service'!K100+Banquet!K101+Minibar!K88+STW!K76+'Main Kitchen'!K76+'F&amp;B Admin'!K76</f>
        <v>0</v>
      </c>
      <c r="L123" s="63">
        <f>'Lobby Lounge'!L100+'Fangfei Lounge'!L100+'Royal Court'!L100+'MP Cafe'!L100+'Pingju Zhuhai'!L100+'Room Service'!L100+Banquet!L101+Minibar!L88+STW!L76+'Main Kitchen'!L76+'F&amp;B Admin'!L76</f>
        <v>0</v>
      </c>
      <c r="M123" s="63">
        <f>'Lobby Lounge'!M100+'Fangfei Lounge'!M100+'Royal Court'!M100+'MP Cafe'!M100+'Pingju Zhuhai'!M100+'Room Service'!M100+Banquet!M101+Minibar!M88+STW!M76+'Main Kitchen'!M76+'F&amp;B Admin'!M76</f>
        <v>6000</v>
      </c>
      <c r="N123" s="63">
        <f>'Lobby Lounge'!N100+'Fangfei Lounge'!N100+'Royal Court'!N100+'MP Cafe'!N100+'Pingju Zhuhai'!N100+'Room Service'!N100+Banquet!N101+Minibar!N88+STW!N76+'Main Kitchen'!N76+'F&amp;B Admin'!N76</f>
        <v>0</v>
      </c>
      <c r="O123" s="63">
        <f>'Lobby Lounge'!O100+'Fangfei Lounge'!O100+'Royal Court'!O100+'MP Cafe'!O100+'Pingju Zhuhai'!O100+'Room Service'!O100+Banquet!O101+Minibar!O88+STW!O76+'Main Kitchen'!O76+'F&amp;B Admin'!O76</f>
        <v>0</v>
      </c>
      <c r="P123" s="63">
        <f>'Lobby Lounge'!P100+'Fangfei Lounge'!P100+'Royal Court'!P100+'MP Cafe'!P100+'Pingju Zhuhai'!P100+'Room Service'!P100+Banquet!P101+Minibar!P88+STW!P76+'Main Kitchen'!P76+'F&amp;B Admin'!P76</f>
        <v>0</v>
      </c>
      <c r="Q123" s="134">
        <f t="shared" si="11"/>
        <v>18000</v>
      </c>
      <c r="R123" s="134">
        <v>9977.18</v>
      </c>
      <c r="S123" s="134">
        <f t="shared" si="12"/>
        <v>0.13890496585252923</v>
      </c>
      <c r="U123" s="148"/>
      <c r="V123" s="40" t="e">
        <f t="shared" si="13"/>
        <v>#DIV/0!</v>
      </c>
      <c r="W123" s="77">
        <f>+'Pingju Zhuhai'!Q95</f>
        <v>75352.390000000014</v>
      </c>
    </row>
    <row r="124" spans="1:23" s="77" customFormat="1" ht="25.4" hidden="1" customHeight="1">
      <c r="A124" s="3" t="s">
        <v>264</v>
      </c>
      <c r="B124" s="3" t="s">
        <v>403</v>
      </c>
      <c r="C124" s="3"/>
      <c r="D124" s="26" t="s">
        <v>265</v>
      </c>
      <c r="E124" s="63">
        <f>'Lobby Lounge'!E101+'Fangfei Lounge'!E101+'Royal Court'!E101+'MP Cafe'!E101+'Pingju Zhuhai'!E101+'Room Service'!E101+Banquet!E102+Minibar!E89+STW!E77+'Main Kitchen'!E77+'F&amp;B Admin'!E77</f>
        <v>0</v>
      </c>
      <c r="F124" s="63">
        <f>'Lobby Lounge'!F101+'Fangfei Lounge'!F101+'Royal Court'!F101+'MP Cafe'!F101+'Pingju Zhuhai'!F101+'Room Service'!F101+Banquet!F102+Minibar!F89+STW!F77+'Main Kitchen'!F77+'F&amp;B Admin'!F77</f>
        <v>0</v>
      </c>
      <c r="G124" s="63">
        <f>'Lobby Lounge'!G101+'Fangfei Lounge'!G101+'Royal Court'!G101+'MP Cafe'!G101+'Pingju Zhuhai'!G101+'Room Service'!G101+Banquet!G102+Minibar!G89+STW!G77+'Main Kitchen'!G77+'F&amp;B Admin'!G77</f>
        <v>0</v>
      </c>
      <c r="H124" s="63">
        <f>'Lobby Lounge'!H101+'Fangfei Lounge'!H101+'Royal Court'!H101+'MP Cafe'!H101+'Pingju Zhuhai'!H101+'Room Service'!H101+Banquet!H102+Minibar!H89+STW!H77+'Main Kitchen'!H77+'F&amp;B Admin'!H77</f>
        <v>0</v>
      </c>
      <c r="I124" s="63">
        <f>'Lobby Lounge'!I101+'Fangfei Lounge'!I101+'Royal Court'!I101+'MP Cafe'!I101+'Pingju Zhuhai'!I101+'Room Service'!I101+Banquet!I102+Minibar!I89+STW!I77+'Main Kitchen'!I77+'F&amp;B Admin'!I77</f>
        <v>0</v>
      </c>
      <c r="J124" s="63">
        <f>'Lobby Lounge'!J101+'Fangfei Lounge'!J101+'Royal Court'!J101+'MP Cafe'!J101+'Pingju Zhuhai'!J101+'Room Service'!J101+Banquet!J102+Minibar!J89+STW!J77+'Main Kitchen'!J77+'F&amp;B Admin'!J77</f>
        <v>0</v>
      </c>
      <c r="K124" s="63">
        <f>'Lobby Lounge'!K101+'Fangfei Lounge'!K101+'Royal Court'!K101+'MP Cafe'!K101+'Pingju Zhuhai'!K101+'Room Service'!K101+Banquet!K102+Minibar!K89+STW!K77+'Main Kitchen'!K77+'F&amp;B Admin'!K77</f>
        <v>0</v>
      </c>
      <c r="L124" s="63">
        <f>'Lobby Lounge'!L101+'Fangfei Lounge'!L101+'Royal Court'!L101+'MP Cafe'!L101+'Pingju Zhuhai'!L101+'Room Service'!L101+Banquet!L102+Minibar!L89+STW!L77+'Main Kitchen'!L77+'F&amp;B Admin'!L77</f>
        <v>0</v>
      </c>
      <c r="M124" s="63">
        <f>'Lobby Lounge'!M101+'Fangfei Lounge'!M101+'Royal Court'!M101+'MP Cafe'!M101+'Pingju Zhuhai'!M101+'Room Service'!M101+Banquet!M102+Minibar!M89+STW!M77+'Main Kitchen'!M77+'F&amp;B Admin'!M77</f>
        <v>0</v>
      </c>
      <c r="N124" s="63">
        <f>'Lobby Lounge'!N101+'Fangfei Lounge'!N101+'Royal Court'!N101+'MP Cafe'!N101+'Pingju Zhuhai'!N101+'Room Service'!N101+Banquet!N102+Minibar!N89+STW!N77+'Main Kitchen'!N77+'F&amp;B Admin'!N77</f>
        <v>0</v>
      </c>
      <c r="O124" s="63">
        <f>'Lobby Lounge'!O101+'Fangfei Lounge'!O101+'Royal Court'!O101+'MP Cafe'!O101+'Pingju Zhuhai'!O101+'Room Service'!O101+Banquet!O102+Minibar!O89+STW!O77+'Main Kitchen'!O77+'F&amp;B Admin'!O77</f>
        <v>0</v>
      </c>
      <c r="P124" s="63">
        <f>'Lobby Lounge'!P101+'Fangfei Lounge'!P101+'Royal Court'!P101+'MP Cafe'!P101+'Pingju Zhuhai'!P101+'Room Service'!P101+Banquet!P102+Minibar!P89+STW!P77+'Main Kitchen'!P77+'F&amp;B Admin'!P77</f>
        <v>0</v>
      </c>
      <c r="Q124" s="134">
        <f t="shared" si="11"/>
        <v>0</v>
      </c>
      <c r="R124" s="134">
        <v>0</v>
      </c>
      <c r="S124" s="134">
        <f t="shared" si="12"/>
        <v>0</v>
      </c>
      <c r="U124" s="148"/>
      <c r="V124" s="40">
        <f t="shared" ref="V124:V148" si="14">IF(Q124-U124=0,0,(Q124-U124)/U124)</f>
        <v>0</v>
      </c>
    </row>
    <row r="125" spans="1:23" s="77" customFormat="1" ht="25.4" hidden="1" customHeight="1">
      <c r="A125" s="3" t="s">
        <v>266</v>
      </c>
      <c r="B125" s="3" t="s">
        <v>403</v>
      </c>
      <c r="C125" s="3"/>
      <c r="D125" s="26" t="s">
        <v>267</v>
      </c>
      <c r="E125" s="63">
        <f>'Lobby Lounge'!E102+'Fangfei Lounge'!E102+'Royal Court'!E102+'MP Cafe'!E102+'Pingju Zhuhai'!E102+'Room Service'!E102+Banquet!E103+Minibar!E90+STW!E78+'Main Kitchen'!E78+'F&amp;B Admin'!E78</f>
        <v>0</v>
      </c>
      <c r="F125" s="63">
        <f>'Lobby Lounge'!F102+'Fangfei Lounge'!F102+'Royal Court'!F102+'MP Cafe'!F102+'Pingju Zhuhai'!F102+'Room Service'!F102+Banquet!F103+Minibar!F90+STW!F78+'Main Kitchen'!F78+'F&amp;B Admin'!F78</f>
        <v>0</v>
      </c>
      <c r="G125" s="63">
        <f>'Lobby Lounge'!G102+'Fangfei Lounge'!G102+'Royal Court'!G102+'MP Cafe'!G102+'Pingju Zhuhai'!G102+'Room Service'!G102+Banquet!G103+Minibar!G90+STW!G78+'Main Kitchen'!G78+'F&amp;B Admin'!G78</f>
        <v>0</v>
      </c>
      <c r="H125" s="63">
        <f>'Lobby Lounge'!H102+'Fangfei Lounge'!H102+'Royal Court'!H102+'MP Cafe'!H102+'Pingju Zhuhai'!H102+'Room Service'!H102+Banquet!H103+Minibar!H90+STW!H78+'Main Kitchen'!H78+'F&amp;B Admin'!H78</f>
        <v>0</v>
      </c>
      <c r="I125" s="63">
        <f>'Lobby Lounge'!I102+'Fangfei Lounge'!I102+'Royal Court'!I102+'MP Cafe'!I102+'Pingju Zhuhai'!I102+'Room Service'!I102+Banquet!I103+Minibar!I90+STW!I78+'Main Kitchen'!I78+'F&amp;B Admin'!I78</f>
        <v>0</v>
      </c>
      <c r="J125" s="63">
        <f>'Lobby Lounge'!J102+'Fangfei Lounge'!J102+'Royal Court'!J102+'MP Cafe'!J102+'Pingju Zhuhai'!J102+'Room Service'!J102+Banquet!J103+Minibar!J90+STW!J78+'Main Kitchen'!J78+'F&amp;B Admin'!J78</f>
        <v>0</v>
      </c>
      <c r="K125" s="63">
        <f>'Lobby Lounge'!K102+'Fangfei Lounge'!K102+'Royal Court'!K102+'MP Cafe'!K102+'Pingju Zhuhai'!K102+'Room Service'!K102+Banquet!K103+Minibar!K90+STW!K78+'Main Kitchen'!K78+'F&amp;B Admin'!K78</f>
        <v>0</v>
      </c>
      <c r="L125" s="63">
        <f>'Lobby Lounge'!L102+'Fangfei Lounge'!L102+'Royal Court'!L102+'MP Cafe'!L102+'Pingju Zhuhai'!L102+'Room Service'!L102+Banquet!L103+Minibar!L90+STW!L78+'Main Kitchen'!L78+'F&amp;B Admin'!L78</f>
        <v>0</v>
      </c>
      <c r="M125" s="63">
        <f>'Lobby Lounge'!M102+'Fangfei Lounge'!M102+'Royal Court'!M102+'MP Cafe'!M102+'Pingju Zhuhai'!M102+'Room Service'!M102+Banquet!M103+Minibar!M90+STW!M78+'Main Kitchen'!M78+'F&amp;B Admin'!M78</f>
        <v>0</v>
      </c>
      <c r="N125" s="63">
        <f>'Lobby Lounge'!N102+'Fangfei Lounge'!N102+'Royal Court'!N102+'MP Cafe'!N102+'Pingju Zhuhai'!N102+'Room Service'!N102+Banquet!N103+Minibar!N90+STW!N78+'Main Kitchen'!N78+'F&amp;B Admin'!N78</f>
        <v>0</v>
      </c>
      <c r="O125" s="63">
        <f>'Lobby Lounge'!O102+'Fangfei Lounge'!O102+'Royal Court'!O102+'MP Cafe'!O102+'Pingju Zhuhai'!O102+'Room Service'!O102+Banquet!O103+Minibar!O90+STW!O78+'Main Kitchen'!O78+'F&amp;B Admin'!O78</f>
        <v>0</v>
      </c>
      <c r="P125" s="63">
        <f>'Lobby Lounge'!P102+'Fangfei Lounge'!P102+'Royal Court'!P102+'MP Cafe'!P102+'Pingju Zhuhai'!P102+'Room Service'!P102+Banquet!P103+Minibar!P90+STW!P78+'Main Kitchen'!P78+'F&amp;B Admin'!P78</f>
        <v>0</v>
      </c>
      <c r="Q125" s="134">
        <f t="shared" si="11"/>
        <v>0</v>
      </c>
      <c r="R125" s="134">
        <v>0</v>
      </c>
      <c r="S125" s="134">
        <f t="shared" si="12"/>
        <v>0</v>
      </c>
      <c r="U125" s="148"/>
      <c r="V125" s="40">
        <f t="shared" si="14"/>
        <v>0</v>
      </c>
    </row>
    <row r="126" spans="1:23" s="77" customFormat="1" ht="25.4" hidden="1" customHeight="1">
      <c r="A126" s="3" t="s">
        <v>268</v>
      </c>
      <c r="B126" s="3" t="s">
        <v>403</v>
      </c>
      <c r="C126" s="3"/>
      <c r="D126" s="26" t="s">
        <v>269</v>
      </c>
      <c r="E126" s="63">
        <f>'Lobby Lounge'!E103+'Fangfei Lounge'!E103+'Royal Court'!E103+'MP Cafe'!E103+'Pingju Zhuhai'!E103+'Room Service'!E103+Banquet!E104+Minibar!E91+STW!E79+'Main Kitchen'!E79+'F&amp;B Admin'!E79</f>
        <v>255</v>
      </c>
      <c r="F126" s="63">
        <f>'Lobby Lounge'!F103+'Fangfei Lounge'!F103+'Royal Court'!F103+'MP Cafe'!F103+'Pingju Zhuhai'!F103+'Room Service'!F103+Banquet!F104+Minibar!F91+STW!F79+'Main Kitchen'!F79+'F&amp;B Admin'!F79</f>
        <v>255</v>
      </c>
      <c r="G126" s="63">
        <f>'Lobby Lounge'!G103+'Fangfei Lounge'!G103+'Royal Court'!G103+'MP Cafe'!G103+'Pingju Zhuhai'!G103+'Room Service'!G103+Banquet!G104+Minibar!G91+STW!G79+'Main Kitchen'!G79+'F&amp;B Admin'!G79</f>
        <v>10255</v>
      </c>
      <c r="H126" s="63">
        <f>'Lobby Lounge'!H103+'Fangfei Lounge'!H103+'Royal Court'!H103+'MP Cafe'!H103+'Pingju Zhuhai'!H103+'Room Service'!H103+Banquet!H104+Minibar!H91+STW!H79+'Main Kitchen'!H79+'F&amp;B Admin'!H79</f>
        <v>5255</v>
      </c>
      <c r="I126" s="63">
        <f>'Lobby Lounge'!I103+'Fangfei Lounge'!I103+'Royal Court'!I103+'MP Cafe'!I103+'Pingju Zhuhai'!I103+'Room Service'!I103+Banquet!I104+Minibar!I91+STW!I79+'Main Kitchen'!I79+'F&amp;B Admin'!I79</f>
        <v>5255</v>
      </c>
      <c r="J126" s="63">
        <f>'Lobby Lounge'!J103+'Fangfei Lounge'!J103+'Royal Court'!J103+'MP Cafe'!J103+'Pingju Zhuhai'!J103+'Room Service'!J103+Banquet!J104+Minibar!J91+STW!J79+'Main Kitchen'!J79+'F&amp;B Admin'!J79</f>
        <v>255</v>
      </c>
      <c r="K126" s="63">
        <f>'Lobby Lounge'!K103+'Fangfei Lounge'!K103+'Royal Court'!K103+'MP Cafe'!K103+'Pingju Zhuhai'!K103+'Room Service'!K103+Banquet!K104+Minibar!K91+STW!K79+'Main Kitchen'!K79+'F&amp;B Admin'!K79</f>
        <v>255</v>
      </c>
      <c r="L126" s="63">
        <f>'Lobby Lounge'!L103+'Fangfei Lounge'!L103+'Royal Court'!L103+'MP Cafe'!L103+'Pingju Zhuhai'!L103+'Room Service'!L103+Banquet!L104+Minibar!L91+STW!L79+'Main Kitchen'!L79+'F&amp;B Admin'!L79</f>
        <v>255</v>
      </c>
      <c r="M126" s="63">
        <f>'Lobby Lounge'!M103+'Fangfei Lounge'!M103+'Royal Court'!M103+'MP Cafe'!M103+'Pingju Zhuhai'!M103+'Room Service'!M103+Banquet!M104+Minibar!M91+STW!M79+'Main Kitchen'!M79+'F&amp;B Admin'!M79</f>
        <v>30255</v>
      </c>
      <c r="N126" s="63">
        <f>'Lobby Lounge'!N103+'Fangfei Lounge'!N103+'Royal Court'!N103+'MP Cafe'!N103+'Pingju Zhuhai'!N103+'Room Service'!N103+Banquet!N104+Minibar!N91+STW!N79+'Main Kitchen'!N79+'F&amp;B Admin'!N79</f>
        <v>255</v>
      </c>
      <c r="O126" s="63">
        <f>'Lobby Lounge'!O103+'Fangfei Lounge'!O103+'Royal Court'!O103+'MP Cafe'!O103+'Pingju Zhuhai'!O103+'Room Service'!O103+Banquet!O104+Minibar!O91+STW!O79+'Main Kitchen'!O79+'F&amp;B Admin'!O79</f>
        <v>255</v>
      </c>
      <c r="P126" s="63">
        <f>'Lobby Lounge'!P103+'Fangfei Lounge'!P103+'Royal Court'!P103+'MP Cafe'!P103+'Pingju Zhuhai'!P103+'Room Service'!P103+Banquet!P104+Minibar!P91+STW!P79+'Main Kitchen'!P79+'F&amp;B Admin'!P79</f>
        <v>255</v>
      </c>
      <c r="Q126" s="134">
        <f t="shared" si="11"/>
        <v>53060</v>
      </c>
      <c r="R126" s="134">
        <v>0</v>
      </c>
      <c r="S126" s="134">
        <f t="shared" si="12"/>
        <v>0.40946097156306671</v>
      </c>
      <c r="U126" s="148"/>
      <c r="V126" s="40" t="e">
        <f t="shared" si="14"/>
        <v>#DIV/0!</v>
      </c>
    </row>
    <row r="127" spans="1:23" s="77" customFormat="1" ht="25.4" hidden="1" customHeight="1">
      <c r="A127" s="3" t="s">
        <v>270</v>
      </c>
      <c r="B127" s="3" t="s">
        <v>403</v>
      </c>
      <c r="C127" s="3"/>
      <c r="D127" s="26" t="s">
        <v>271</v>
      </c>
      <c r="E127" s="63">
        <f>'Lobby Lounge'!E104+'Fangfei Lounge'!E104+'Royal Court'!E104+'MP Cafe'!E104+'Pingju Zhuhai'!E104+'Room Service'!E104+Banquet!E105+Minibar!E92+STW!E80+'Main Kitchen'!E80+'F&amp;B Admin'!E80</f>
        <v>0</v>
      </c>
      <c r="F127" s="63">
        <f>'Lobby Lounge'!F104+'Fangfei Lounge'!F104+'Royal Court'!F104+'MP Cafe'!F104+'Pingju Zhuhai'!F104+'Room Service'!F104+Banquet!F105+Minibar!F92+STW!F80+'Main Kitchen'!F80+'F&amp;B Admin'!F80</f>
        <v>0</v>
      </c>
      <c r="G127" s="63">
        <f>'Lobby Lounge'!G104+'Fangfei Lounge'!G104+'Royal Court'!G104+'MP Cafe'!G104+'Pingju Zhuhai'!G104+'Room Service'!G104+Banquet!G105+Minibar!G92+STW!G80+'Main Kitchen'!G80+'F&amp;B Admin'!G80</f>
        <v>0</v>
      </c>
      <c r="H127" s="63">
        <f>'Lobby Lounge'!H104+'Fangfei Lounge'!H104+'Royal Court'!H104+'MP Cafe'!H104+'Pingju Zhuhai'!H104+'Room Service'!H104+Banquet!H105+Minibar!H92+STW!H80+'Main Kitchen'!H80+'F&amp;B Admin'!H80</f>
        <v>0</v>
      </c>
      <c r="I127" s="63">
        <f>'Lobby Lounge'!I104+'Fangfei Lounge'!I104+'Royal Court'!I104+'MP Cafe'!I104+'Pingju Zhuhai'!I104+'Room Service'!I104+Banquet!I105+Minibar!I92+STW!I80+'Main Kitchen'!I80+'F&amp;B Admin'!I80</f>
        <v>0</v>
      </c>
      <c r="J127" s="63">
        <f>'Lobby Lounge'!J104+'Fangfei Lounge'!J104+'Royal Court'!J104+'MP Cafe'!J104+'Pingju Zhuhai'!J104+'Room Service'!J104+Banquet!J105+Minibar!J92+STW!J80+'Main Kitchen'!J80+'F&amp;B Admin'!J80</f>
        <v>0</v>
      </c>
      <c r="K127" s="63">
        <f>'Lobby Lounge'!K104+'Fangfei Lounge'!K104+'Royal Court'!K104+'MP Cafe'!K104+'Pingju Zhuhai'!K104+'Room Service'!K104+Banquet!K105+Minibar!K92+STW!K80+'Main Kitchen'!K80+'F&amp;B Admin'!K80</f>
        <v>0</v>
      </c>
      <c r="L127" s="63">
        <f>'Lobby Lounge'!L104+'Fangfei Lounge'!L104+'Royal Court'!L104+'MP Cafe'!L104+'Pingju Zhuhai'!L104+'Room Service'!L104+Banquet!L105+Minibar!L92+STW!L80+'Main Kitchen'!L80+'F&amp;B Admin'!L80</f>
        <v>0</v>
      </c>
      <c r="M127" s="63">
        <f>'Lobby Lounge'!M104+'Fangfei Lounge'!M104+'Royal Court'!M104+'MP Cafe'!M104+'Pingju Zhuhai'!M104+'Room Service'!M104+Banquet!M105+Minibar!M92+STW!M80+'Main Kitchen'!M80+'F&amp;B Admin'!M80</f>
        <v>0</v>
      </c>
      <c r="N127" s="63">
        <f>'Lobby Lounge'!N104+'Fangfei Lounge'!N104+'Royal Court'!N104+'MP Cafe'!N104+'Pingju Zhuhai'!N104+'Room Service'!N104+Banquet!N105+Minibar!N92+STW!N80+'Main Kitchen'!N80+'F&amp;B Admin'!N80</f>
        <v>0</v>
      </c>
      <c r="O127" s="63">
        <f>'Lobby Lounge'!O104+'Fangfei Lounge'!O104+'Royal Court'!O104+'MP Cafe'!O104+'Pingju Zhuhai'!O104+'Room Service'!O104+Banquet!O105+Minibar!O92+STW!O80+'Main Kitchen'!O80+'F&amp;B Admin'!O80</f>
        <v>0</v>
      </c>
      <c r="P127" s="63">
        <f>'Lobby Lounge'!P104+'Fangfei Lounge'!P104+'Royal Court'!P104+'MP Cafe'!P104+'Pingju Zhuhai'!P104+'Room Service'!P104+Banquet!P105+Minibar!P92+STW!P80+'Main Kitchen'!P80+'F&amp;B Admin'!P80</f>
        <v>0</v>
      </c>
      <c r="Q127" s="134">
        <f t="shared" ref="Q127:Q129" si="15">SUM(E127:P127)</f>
        <v>0</v>
      </c>
      <c r="R127" s="134">
        <v>0</v>
      </c>
      <c r="S127" s="134">
        <f>Q127/$Q$148</f>
        <v>0</v>
      </c>
      <c r="U127" s="148"/>
      <c r="V127" s="40">
        <f t="shared" si="14"/>
        <v>0</v>
      </c>
    </row>
    <row r="128" spans="1:23" s="77" customFormat="1" ht="25.4" hidden="1" customHeight="1">
      <c r="A128" s="3" t="s">
        <v>272</v>
      </c>
      <c r="B128" s="3" t="s">
        <v>403</v>
      </c>
      <c r="C128" s="3"/>
      <c r="D128" s="26" t="s">
        <v>273</v>
      </c>
      <c r="E128" s="63">
        <f>'Lobby Lounge'!E105+'Fangfei Lounge'!E105+'Royal Court'!E105+'MP Cafe'!E105+'Pingju Zhuhai'!E105+'Room Service'!E105+Banquet!E106+Minibar!E93+STW!E81+'Main Kitchen'!E81+'F&amp;B Admin'!E81</f>
        <v>0</v>
      </c>
      <c r="F128" s="63">
        <f>'Lobby Lounge'!F105+'Fangfei Lounge'!F105+'Royal Court'!F105+'MP Cafe'!F105+'Pingju Zhuhai'!F105+'Room Service'!F105+Banquet!F106+Minibar!F93+STW!F81+'Main Kitchen'!F81+'F&amp;B Admin'!F81</f>
        <v>0</v>
      </c>
      <c r="G128" s="63">
        <f>'Lobby Lounge'!G105+'Fangfei Lounge'!G105+'Royal Court'!G105+'MP Cafe'!G105+'Pingju Zhuhai'!G105+'Room Service'!G105+Banquet!G106+Minibar!G93+STW!G81+'Main Kitchen'!G81+'F&amp;B Admin'!G81</f>
        <v>0</v>
      </c>
      <c r="H128" s="63">
        <f>'Lobby Lounge'!H105+'Fangfei Lounge'!H105+'Royal Court'!H105+'MP Cafe'!H105+'Pingju Zhuhai'!H105+'Room Service'!H105+Banquet!H106+Minibar!H93+STW!H81+'Main Kitchen'!H81+'F&amp;B Admin'!H81</f>
        <v>0</v>
      </c>
      <c r="I128" s="63">
        <f>'Lobby Lounge'!I105+'Fangfei Lounge'!I105+'Royal Court'!I105+'MP Cafe'!I105+'Pingju Zhuhai'!I105+'Room Service'!I105+Banquet!I106+Minibar!I93+STW!I81+'Main Kitchen'!I81+'F&amp;B Admin'!I81</f>
        <v>0</v>
      </c>
      <c r="J128" s="63">
        <f>'Lobby Lounge'!J105+'Fangfei Lounge'!J105+'Royal Court'!J105+'MP Cafe'!J105+'Pingju Zhuhai'!J105+'Room Service'!J105+Banquet!J106+Minibar!J93+STW!J81+'Main Kitchen'!J81+'F&amp;B Admin'!J81</f>
        <v>0</v>
      </c>
      <c r="K128" s="63">
        <f>'Lobby Lounge'!K105+'Fangfei Lounge'!K105+'Royal Court'!K105+'MP Cafe'!K105+'Pingju Zhuhai'!K105+'Room Service'!K105+Banquet!K106+Minibar!K93+STW!K81+'Main Kitchen'!K81+'F&amp;B Admin'!K81</f>
        <v>0</v>
      </c>
      <c r="L128" s="63">
        <f>'Lobby Lounge'!L105+'Fangfei Lounge'!L105+'Royal Court'!L105+'MP Cafe'!L105+'Pingju Zhuhai'!L105+'Room Service'!L105+Banquet!L106+Minibar!L93+STW!L81+'Main Kitchen'!L81+'F&amp;B Admin'!L81</f>
        <v>0</v>
      </c>
      <c r="M128" s="63">
        <f>'Lobby Lounge'!M105+'Fangfei Lounge'!M105+'Royal Court'!M105+'MP Cafe'!M105+'Pingju Zhuhai'!M105+'Room Service'!M105+Banquet!M106+Minibar!M93+STW!M81+'Main Kitchen'!M81+'F&amp;B Admin'!M81</f>
        <v>0</v>
      </c>
      <c r="N128" s="63">
        <f>'Lobby Lounge'!N105+'Fangfei Lounge'!N105+'Royal Court'!N105+'MP Cafe'!N105+'Pingju Zhuhai'!N105+'Room Service'!N105+Banquet!N106+Minibar!N93+STW!N81+'Main Kitchen'!N81+'F&amp;B Admin'!N81</f>
        <v>0</v>
      </c>
      <c r="O128" s="63">
        <f>'Lobby Lounge'!O105+'Fangfei Lounge'!O105+'Royal Court'!O105+'MP Cafe'!O105+'Pingju Zhuhai'!O105+'Room Service'!O105+Banquet!O106+Minibar!O93+STW!O81+'Main Kitchen'!O81+'F&amp;B Admin'!O81</f>
        <v>0</v>
      </c>
      <c r="P128" s="63">
        <f>'Lobby Lounge'!P105+'Fangfei Lounge'!P105+'Royal Court'!P105+'MP Cafe'!P105+'Pingju Zhuhai'!P105+'Room Service'!P105+Banquet!P106+Minibar!P93+STW!P81+'Main Kitchen'!P81+'F&amp;B Admin'!P81</f>
        <v>0</v>
      </c>
      <c r="Q128" s="134">
        <f t="shared" si="15"/>
        <v>0</v>
      </c>
      <c r="R128" s="134">
        <v>0</v>
      </c>
      <c r="S128" s="134">
        <f>Q128/$Q$148</f>
        <v>0</v>
      </c>
      <c r="U128" s="148"/>
      <c r="V128" s="40">
        <f t="shared" si="14"/>
        <v>0</v>
      </c>
    </row>
    <row r="129" spans="1:23" s="77" customFormat="1" ht="25.4" customHeight="1">
      <c r="A129" s="3" t="s">
        <v>274</v>
      </c>
      <c r="B129" s="3" t="s">
        <v>403</v>
      </c>
      <c r="C129" s="3"/>
      <c r="D129" s="26" t="s">
        <v>275</v>
      </c>
      <c r="E129" s="63">
        <f>'Lobby Lounge'!E106+'Fangfei Lounge'!E106+'Royal Court'!E106+'MP Cafe'!E106+'Pingju Zhuhai'!E106+'Room Service'!E106+Banquet!E107+Minibar!E94+STW!E82+'Main Kitchen'!E82+'F&amp;B Admin'!E82</f>
        <v>24550</v>
      </c>
      <c r="F129" s="63">
        <f>'Lobby Lounge'!F106+'Fangfei Lounge'!F106+'Royal Court'!F106+'MP Cafe'!F106+'Pingju Zhuhai'!F106+'Room Service'!F106+Banquet!F107+Minibar!F94+STW!F82+'Main Kitchen'!F82+'F&amp;B Admin'!F82</f>
        <v>17355</v>
      </c>
      <c r="G129" s="63">
        <f>'Lobby Lounge'!G106+'Fangfei Lounge'!G106+'Royal Court'!G106+'MP Cafe'!G106+'Pingju Zhuhai'!G106+'Room Service'!G106+Banquet!G107+Minibar!G94+STW!G82+'Main Kitchen'!G82+'F&amp;B Admin'!G82</f>
        <v>26250</v>
      </c>
      <c r="H129" s="63">
        <f>'Lobby Lounge'!H106+'Fangfei Lounge'!H106+'Royal Court'!H106+'MP Cafe'!H106+'Pingju Zhuhai'!H106+'Room Service'!H106+Banquet!H107+Minibar!H94+STW!H82+'Main Kitchen'!H82+'F&amp;B Admin'!H82</f>
        <v>22960</v>
      </c>
      <c r="I129" s="63">
        <f>'Lobby Lounge'!I106+'Fangfei Lounge'!I106+'Royal Court'!I106+'MP Cafe'!I106+'Pingju Zhuhai'!I106+'Room Service'!I106+Banquet!I107+Minibar!I94+STW!I82+'Main Kitchen'!I82+'F&amp;B Admin'!I82</f>
        <v>25100</v>
      </c>
      <c r="J129" s="63">
        <f>'Lobby Lounge'!J106+'Fangfei Lounge'!J106+'Royal Court'!J106+'MP Cafe'!J106+'Pingju Zhuhai'!J106+'Room Service'!J106+Banquet!J107+Minibar!J94+STW!J82+'Main Kitchen'!J82+'F&amp;B Admin'!J82</f>
        <v>26010</v>
      </c>
      <c r="K129" s="63">
        <f>'Lobby Lounge'!K106+'Fangfei Lounge'!K106+'Royal Court'!K106+'MP Cafe'!K106+'Pingju Zhuhai'!K106+'Room Service'!K106+Banquet!K107+Minibar!K94+STW!K82+'Main Kitchen'!K82+'F&amp;B Admin'!K82</f>
        <v>24550</v>
      </c>
      <c r="L129" s="63">
        <f>'Lobby Lounge'!L106+'Fangfei Lounge'!L106+'Royal Court'!L106+'MP Cafe'!L106+'Pingju Zhuhai'!L106+'Room Service'!L106+Banquet!L107+Minibar!L94+STW!L82+'Main Kitchen'!L82+'F&amp;B Admin'!L82</f>
        <v>21650</v>
      </c>
      <c r="M129" s="63">
        <f>'Lobby Lounge'!M106+'Fangfei Lounge'!M106+'Royal Court'!M106+'MP Cafe'!M106+'Pingju Zhuhai'!M106+'Room Service'!M106+Banquet!M107+Minibar!M94+STW!M82+'Main Kitchen'!M82+'F&amp;B Admin'!M82</f>
        <v>18485</v>
      </c>
      <c r="N129" s="63">
        <f>'Lobby Lounge'!N106+'Fangfei Lounge'!N106+'Royal Court'!N106+'MP Cafe'!N106+'Pingju Zhuhai'!N106+'Room Service'!N106+Banquet!N107+Minibar!N94+STW!N82+'Main Kitchen'!N82+'F&amp;B Admin'!N82</f>
        <v>31350</v>
      </c>
      <c r="O129" s="63">
        <f>'Lobby Lounge'!O106+'Fangfei Lounge'!O106+'Royal Court'!O106+'MP Cafe'!O106+'Pingju Zhuhai'!O106+'Room Service'!O106+Banquet!O107+Minibar!O94+STW!O82+'Main Kitchen'!O82+'F&amp;B Admin'!O82</f>
        <v>30960</v>
      </c>
      <c r="P129" s="63">
        <f>'Lobby Lounge'!P106+'Fangfei Lounge'!P106+'Royal Court'!P106+'MP Cafe'!P106+'Pingju Zhuhai'!P106+'Room Service'!P106+Banquet!P107+Minibar!P94+STW!P82+'Main Kitchen'!P82+'F&amp;B Admin'!P82</f>
        <v>29500</v>
      </c>
      <c r="Q129" s="134">
        <f t="shared" si="15"/>
        <v>298720</v>
      </c>
      <c r="R129" s="134">
        <v>909275.95</v>
      </c>
      <c r="S129" s="134">
        <f>Q129/$Q$148</f>
        <v>2.3052050777481963</v>
      </c>
      <c r="U129" s="148"/>
      <c r="V129" s="40" t="e">
        <f>-IF(Q129-U129=0,0,(Q129-U129)/U129)</f>
        <v>#DIV/0!</v>
      </c>
      <c r="W129" s="77">
        <f>+Banquet!Q96</f>
        <v>76966.570000000007</v>
      </c>
    </row>
    <row r="130" spans="1:23" s="77" customFormat="1" ht="25.4" customHeight="1">
      <c r="A130" s="3"/>
      <c r="B130" s="3"/>
      <c r="C130" s="3"/>
      <c r="D130" s="19" t="s">
        <v>276</v>
      </c>
      <c r="E130" s="151">
        <f>SUM(E62:E129)</f>
        <v>279652.28000000003</v>
      </c>
      <c r="F130" s="151">
        <f t="shared" ref="F130:Q130" si="16">SUM(F62:F129)</f>
        <v>229529.1</v>
      </c>
      <c r="G130" s="151">
        <f t="shared" si="16"/>
        <v>293524.91000000003</v>
      </c>
      <c r="H130" s="151">
        <f t="shared" si="16"/>
        <v>267645.83</v>
      </c>
      <c r="I130" s="151">
        <f t="shared" si="16"/>
        <v>287655.13</v>
      </c>
      <c r="J130" s="151">
        <f t="shared" si="16"/>
        <v>291786.15000000002</v>
      </c>
      <c r="K130" s="151">
        <f t="shared" si="16"/>
        <v>292060.13999999996</v>
      </c>
      <c r="L130" s="151">
        <f t="shared" si="16"/>
        <v>275525.48</v>
      </c>
      <c r="M130" s="151">
        <f t="shared" si="16"/>
        <v>291888.26</v>
      </c>
      <c r="N130" s="151">
        <f t="shared" si="16"/>
        <v>335489.26</v>
      </c>
      <c r="O130" s="151">
        <f t="shared" si="16"/>
        <v>326736.64000000001</v>
      </c>
      <c r="P130" s="151">
        <f t="shared" si="16"/>
        <v>328706.8</v>
      </c>
      <c r="Q130" s="151">
        <f t="shared" si="16"/>
        <v>3500199.9799999995</v>
      </c>
      <c r="R130" s="151">
        <v>4016768.97</v>
      </c>
      <c r="S130" s="134">
        <f>Q130/$Q$148</f>
        <v>27.010842149940189</v>
      </c>
      <c r="T130" s="172">
        <f>Q130/Q50</f>
        <v>9.9679922702921267E-2</v>
      </c>
      <c r="U130" s="148"/>
      <c r="V130" s="40" t="e">
        <f>-IF(Q130-U130=0,0,(Q130-U130)/U130)</f>
        <v>#DIV/0!</v>
      </c>
      <c r="W130" s="77">
        <f>+'Room Service'!Q95</f>
        <v>8775.9600000000009</v>
      </c>
    </row>
    <row r="131" spans="1:23" s="77" customFormat="1" ht="25.4" customHeight="1">
      <c r="A131" s="3"/>
      <c r="B131" s="3"/>
      <c r="C131" s="3"/>
      <c r="D131" s="19" t="s">
        <v>277</v>
      </c>
      <c r="E131" s="151">
        <f t="shared" ref="E131:Q131" si="17">E50-E57-E59-E130</f>
        <v>109520.37000000011</v>
      </c>
      <c r="F131" s="151">
        <f t="shared" si="17"/>
        <v>-138945.12000000002</v>
      </c>
      <c r="G131" s="151">
        <f t="shared" si="17"/>
        <v>410660.17499999993</v>
      </c>
      <c r="H131" s="151">
        <f t="shared" si="17"/>
        <v>133917.28000000009</v>
      </c>
      <c r="I131" s="151">
        <f t="shared" si="17"/>
        <v>324571.50000000012</v>
      </c>
      <c r="J131" s="151">
        <f t="shared" si="17"/>
        <v>236557.55000000016</v>
      </c>
      <c r="K131" s="151">
        <f t="shared" si="17"/>
        <v>294417.30500000011</v>
      </c>
      <c r="L131" s="151">
        <f t="shared" si="17"/>
        <v>152545.83500000043</v>
      </c>
      <c r="M131" s="151">
        <f t="shared" si="17"/>
        <v>-134857.47500000009</v>
      </c>
      <c r="N131" s="151">
        <f t="shared" si="17"/>
        <v>805164.61500000022</v>
      </c>
      <c r="O131" s="151">
        <f t="shared" si="17"/>
        <v>712158.3250000003</v>
      </c>
      <c r="P131" s="151">
        <f t="shared" si="17"/>
        <v>592318.34499999974</v>
      </c>
      <c r="Q131" s="151">
        <f t="shared" si="17"/>
        <v>3498028.7049999991</v>
      </c>
      <c r="R131" s="151">
        <v>8810268.4114999995</v>
      </c>
      <c r="U131" s="148"/>
      <c r="V131" s="40" t="e">
        <f t="shared" si="14"/>
        <v>#DIV/0!</v>
      </c>
      <c r="W131" s="77">
        <f>+STW!Q71</f>
        <v>53056.890000000007</v>
      </c>
    </row>
    <row r="132" spans="1:23" s="77" customFormat="1" ht="25.4" customHeight="1">
      <c r="A132" s="3"/>
      <c r="B132" s="3"/>
      <c r="C132" s="3"/>
      <c r="D132" s="19" t="s">
        <v>278</v>
      </c>
      <c r="E132" s="129">
        <f t="shared" ref="E132:Q132" si="18">IF(E131=0,0,E131/E50)</f>
        <v>4.1716648771838928E-2</v>
      </c>
      <c r="F132" s="129">
        <f t="shared" si="18"/>
        <v>-7.1446711222458895E-2</v>
      </c>
      <c r="G132" s="129">
        <f t="shared" si="18"/>
        <v>0.14099370235722306</v>
      </c>
      <c r="H132" s="129">
        <f t="shared" si="18"/>
        <v>5.3063403972386847E-2</v>
      </c>
      <c r="I132" s="129">
        <f t="shared" si="18"/>
        <v>0.10742550151858588</v>
      </c>
      <c r="J132" s="129">
        <f t="shared" si="18"/>
        <v>8.5287393660055472E-2</v>
      </c>
      <c r="K132" s="129">
        <f t="shared" si="18"/>
        <v>9.9683275348434228E-2</v>
      </c>
      <c r="L132" s="129">
        <f t="shared" si="18"/>
        <v>5.6103084426211938E-2</v>
      </c>
      <c r="M132" s="129">
        <f t="shared" si="18"/>
        <v>-5.8221778357636797E-2</v>
      </c>
      <c r="N132" s="129">
        <f t="shared" si="18"/>
        <v>0.19771995568245904</v>
      </c>
      <c r="O132" s="129">
        <f t="shared" si="18"/>
        <v>0.19193872828973726</v>
      </c>
      <c r="P132" s="129">
        <f t="shared" si="18"/>
        <v>0.1672484495196393</v>
      </c>
      <c r="Q132" s="129">
        <f t="shared" si="18"/>
        <v>9.9618088371910607E-2</v>
      </c>
      <c r="R132" s="129">
        <v>0.22160082510058901</v>
      </c>
      <c r="U132" s="40"/>
      <c r="V132" s="40" t="e">
        <f t="shared" si="14"/>
        <v>#DIV/0!</v>
      </c>
    </row>
    <row r="133" spans="1:23" s="77" customFormat="1" ht="25.4" customHeight="1">
      <c r="A133" s="3"/>
      <c r="B133" s="3"/>
      <c r="C133" s="3"/>
      <c r="D133" s="19" t="s">
        <v>424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U133" s="148"/>
      <c r="V133" s="40"/>
    </row>
    <row r="134" spans="1:23" s="77" customFormat="1" ht="25.4" customHeight="1">
      <c r="A134" s="50" t="s">
        <v>425</v>
      </c>
      <c r="B134" s="3" t="s">
        <v>368</v>
      </c>
      <c r="C134" s="3"/>
      <c r="D134" s="26" t="s">
        <v>426</v>
      </c>
      <c r="E134" s="74">
        <f>+'Lobby Lounge'!E117</f>
        <v>0</v>
      </c>
      <c r="F134" s="74">
        <f>+'Lobby Lounge'!F117</f>
        <v>0</v>
      </c>
      <c r="G134" s="74">
        <f>+'Lobby Lounge'!G117</f>
        <v>0</v>
      </c>
      <c r="H134" s="74">
        <f>+'Lobby Lounge'!H117</f>
        <v>0</v>
      </c>
      <c r="I134" s="74">
        <f>+'Lobby Lounge'!I117</f>
        <v>0</v>
      </c>
      <c r="J134" s="74">
        <f>+'Lobby Lounge'!J117</f>
        <v>0</v>
      </c>
      <c r="K134" s="74">
        <f>+'Lobby Lounge'!K117</f>
        <v>0</v>
      </c>
      <c r="L134" s="74">
        <f>+'Lobby Lounge'!L117</f>
        <v>0</v>
      </c>
      <c r="M134" s="74">
        <f>+'Lobby Lounge'!M117</f>
        <v>0</v>
      </c>
      <c r="N134" s="74">
        <f>+'Lobby Lounge'!N117</f>
        <v>0</v>
      </c>
      <c r="O134" s="74">
        <f>+'Lobby Lounge'!O117</f>
        <v>0</v>
      </c>
      <c r="P134" s="74">
        <f>+'Lobby Lounge'!P117</f>
        <v>0</v>
      </c>
      <c r="Q134" s="162">
        <f>SUM(E134:P134)</f>
        <v>0</v>
      </c>
      <c r="R134" s="162">
        <v>68396</v>
      </c>
      <c r="U134" s="148"/>
      <c r="V134" s="40">
        <f t="shared" si="14"/>
        <v>0</v>
      </c>
    </row>
    <row r="135" spans="1:23" s="77" customFormat="1" ht="25.4" customHeight="1">
      <c r="A135" s="3" t="s">
        <v>425</v>
      </c>
      <c r="B135" s="3" t="s">
        <v>370</v>
      </c>
      <c r="C135" s="3"/>
      <c r="D135" s="26" t="s">
        <v>371</v>
      </c>
      <c r="E135" s="74">
        <f>+'Fangfei Lounge'!E117</f>
        <v>3663</v>
      </c>
      <c r="F135" s="74">
        <f>+'Fangfei Lounge'!F117</f>
        <v>4689</v>
      </c>
      <c r="G135" s="74">
        <f>+'Fangfei Lounge'!G117</f>
        <v>3470</v>
      </c>
      <c r="H135" s="74">
        <f>+'Fangfei Lounge'!H117</f>
        <v>3604</v>
      </c>
      <c r="I135" s="74">
        <f>+'Fangfei Lounge'!I117</f>
        <v>3939</v>
      </c>
      <c r="J135" s="74">
        <f>+'Fangfei Lounge'!J117</f>
        <v>3547</v>
      </c>
      <c r="K135" s="74">
        <f>+'Fangfei Lounge'!K117</f>
        <v>6619</v>
      </c>
      <c r="L135" s="74">
        <f>+'Fangfei Lounge'!L117</f>
        <v>6869</v>
      </c>
      <c r="M135" s="74">
        <f>+'Fangfei Lounge'!M117</f>
        <v>3064</v>
      </c>
      <c r="N135" s="74">
        <f>+'Fangfei Lounge'!N117</f>
        <v>5105</v>
      </c>
      <c r="O135" s="74">
        <f>+'Fangfei Lounge'!O117</f>
        <v>4798</v>
      </c>
      <c r="P135" s="74">
        <f>+'Fangfei Lounge'!P117</f>
        <v>5435</v>
      </c>
      <c r="Q135" s="162">
        <f t="shared" ref="Q135:Q147" si="19">SUM(E135:P135)</f>
        <v>54802</v>
      </c>
      <c r="R135" s="162">
        <v>57902</v>
      </c>
      <c r="U135" s="148"/>
      <c r="V135" s="40" t="e">
        <f t="shared" si="14"/>
        <v>#DIV/0!</v>
      </c>
    </row>
    <row r="136" spans="1:23" s="77" customFormat="1" ht="25.4" hidden="1" customHeight="1">
      <c r="A136" s="3" t="s">
        <v>425</v>
      </c>
      <c r="B136" s="3" t="s">
        <v>372</v>
      </c>
      <c r="C136" s="3"/>
      <c r="D136" s="26" t="s">
        <v>373</v>
      </c>
      <c r="E136" s="74">
        <f>+'Royal Court'!E117</f>
        <v>1860</v>
      </c>
      <c r="F136" s="74">
        <f>+'Royal Court'!F117</f>
        <v>1860</v>
      </c>
      <c r="G136" s="74">
        <f>+'Royal Court'!G117</f>
        <v>1860</v>
      </c>
      <c r="H136" s="74">
        <f>+'Royal Court'!H117</f>
        <v>1860</v>
      </c>
      <c r="I136" s="74">
        <f>+'Royal Court'!I117</f>
        <v>1860</v>
      </c>
      <c r="J136" s="74">
        <f>+'Royal Court'!J117</f>
        <v>1860</v>
      </c>
      <c r="K136" s="74">
        <f>+'Royal Court'!K117</f>
        <v>1860</v>
      </c>
      <c r="L136" s="74">
        <f>+'Royal Court'!L117</f>
        <v>1860</v>
      </c>
      <c r="M136" s="74">
        <f>+'Royal Court'!M117</f>
        <v>1860</v>
      </c>
      <c r="N136" s="74">
        <f>+'Royal Court'!N117</f>
        <v>1860</v>
      </c>
      <c r="O136" s="74">
        <f>+'Royal Court'!O117</f>
        <v>1860</v>
      </c>
      <c r="P136" s="74">
        <f>+'Royal Court'!P117</f>
        <v>1860</v>
      </c>
      <c r="Q136" s="162">
        <f t="shared" si="19"/>
        <v>22320</v>
      </c>
      <c r="R136" s="162">
        <v>10657</v>
      </c>
      <c r="U136" s="148"/>
      <c r="V136" s="40" t="e">
        <f t="shared" si="14"/>
        <v>#DIV/0!</v>
      </c>
    </row>
    <row r="137" spans="1:23" s="77" customFormat="1" ht="25.4" hidden="1" customHeight="1">
      <c r="A137" s="3" t="s">
        <v>425</v>
      </c>
      <c r="B137" s="3" t="s">
        <v>374</v>
      </c>
      <c r="C137" s="3"/>
      <c r="D137" s="26" t="s">
        <v>375</v>
      </c>
      <c r="E137" s="74">
        <f>+'MP Cafe'!E117</f>
        <v>0</v>
      </c>
      <c r="F137" s="74">
        <f>+'MP Cafe'!F117</f>
        <v>0</v>
      </c>
      <c r="G137" s="74">
        <f>+'MP Cafe'!G117</f>
        <v>0</v>
      </c>
      <c r="H137" s="74">
        <f>+'MP Cafe'!H117</f>
        <v>0</v>
      </c>
      <c r="I137" s="74">
        <f>+'MP Cafe'!I117</f>
        <v>0</v>
      </c>
      <c r="J137" s="74">
        <f>+'MP Cafe'!J117</f>
        <v>0</v>
      </c>
      <c r="K137" s="74">
        <f>+'MP Cafe'!K117</f>
        <v>0</v>
      </c>
      <c r="L137" s="74">
        <f>+'MP Cafe'!L117</f>
        <v>0</v>
      </c>
      <c r="M137" s="74">
        <f>+'MP Cafe'!M117</f>
        <v>0</v>
      </c>
      <c r="N137" s="74">
        <f>+'MP Cafe'!N117</f>
        <v>0</v>
      </c>
      <c r="O137" s="74">
        <f>+'MP Cafe'!O117</f>
        <v>0</v>
      </c>
      <c r="P137" s="74">
        <f>+'MP Cafe'!P117</f>
        <v>0</v>
      </c>
      <c r="Q137" s="162">
        <f t="shared" si="19"/>
        <v>0</v>
      </c>
      <c r="R137" s="162">
        <v>16840</v>
      </c>
      <c r="U137" s="148"/>
      <c r="V137" s="40">
        <f t="shared" si="14"/>
        <v>0</v>
      </c>
    </row>
    <row r="138" spans="1:23" s="77" customFormat="1" ht="25.4" hidden="1" customHeight="1">
      <c r="A138" s="3" t="s">
        <v>425</v>
      </c>
      <c r="B138" s="3" t="s">
        <v>376</v>
      </c>
      <c r="C138" s="3"/>
      <c r="D138" s="26" t="s">
        <v>377</v>
      </c>
      <c r="E138" s="74">
        <f>+'Pingju Zhuhai'!E117</f>
        <v>2945</v>
      </c>
      <c r="F138" s="74">
        <f>+'Pingju Zhuhai'!F117</f>
        <v>2660</v>
      </c>
      <c r="G138" s="74">
        <f>+'Pingju Zhuhai'!G117</f>
        <v>2945</v>
      </c>
      <c r="H138" s="74">
        <f>+'Pingju Zhuhai'!H117</f>
        <v>2850</v>
      </c>
      <c r="I138" s="74">
        <f>+'Pingju Zhuhai'!I117</f>
        <v>2945</v>
      </c>
      <c r="J138" s="74">
        <f>+'Pingju Zhuhai'!J117</f>
        <v>2850</v>
      </c>
      <c r="K138" s="74">
        <f>+'Pingju Zhuhai'!K117</f>
        <v>2945</v>
      </c>
      <c r="L138" s="74">
        <f>+'Pingju Zhuhai'!L117</f>
        <v>2945</v>
      </c>
      <c r="M138" s="74">
        <f>+'Pingju Zhuhai'!M117</f>
        <v>2850</v>
      </c>
      <c r="N138" s="74">
        <f>+'Pingju Zhuhai'!N117</f>
        <v>2945</v>
      </c>
      <c r="O138" s="74">
        <f>+'Pingju Zhuhai'!O117</f>
        <v>2850</v>
      </c>
      <c r="P138" s="74">
        <f>+'Pingju Zhuhai'!P117</f>
        <v>2945</v>
      </c>
      <c r="Q138" s="162">
        <f t="shared" si="19"/>
        <v>34675</v>
      </c>
      <c r="R138" s="162">
        <v>5065</v>
      </c>
      <c r="U138" s="148"/>
      <c r="V138" s="40" t="e">
        <f t="shared" si="14"/>
        <v>#DIV/0!</v>
      </c>
    </row>
    <row r="139" spans="1:23" s="77" customFormat="1" ht="25.4" hidden="1" customHeight="1">
      <c r="A139" s="3" t="s">
        <v>425</v>
      </c>
      <c r="B139" s="3" t="s">
        <v>378</v>
      </c>
      <c r="C139" s="3"/>
      <c r="D139" s="3" t="s">
        <v>379</v>
      </c>
      <c r="E139" s="74">
        <v>0</v>
      </c>
      <c r="F139" s="74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162">
        <f t="shared" si="19"/>
        <v>0</v>
      </c>
      <c r="R139" s="162">
        <v>0</v>
      </c>
      <c r="U139" s="148"/>
      <c r="V139" s="40">
        <f t="shared" si="14"/>
        <v>0</v>
      </c>
    </row>
    <row r="140" spans="1:23" s="77" customFormat="1" ht="25.4" hidden="1" customHeight="1">
      <c r="A140" s="3" t="s">
        <v>425</v>
      </c>
      <c r="B140" s="3" t="s">
        <v>380</v>
      </c>
      <c r="C140" s="3"/>
      <c r="D140" s="3" t="s">
        <v>381</v>
      </c>
      <c r="E140" s="74">
        <v>0</v>
      </c>
      <c r="F140" s="74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162">
        <f t="shared" si="19"/>
        <v>0</v>
      </c>
      <c r="R140" s="162">
        <v>0</v>
      </c>
      <c r="U140" s="148"/>
      <c r="V140" s="40">
        <f t="shared" si="14"/>
        <v>0</v>
      </c>
    </row>
    <row r="141" spans="1:23" s="77" customFormat="1" ht="25.4" hidden="1" customHeight="1">
      <c r="A141" s="3" t="s">
        <v>425</v>
      </c>
      <c r="B141" s="3" t="s">
        <v>382</v>
      </c>
      <c r="C141" s="3"/>
      <c r="D141" s="3" t="s">
        <v>383</v>
      </c>
      <c r="E141" s="74">
        <v>0</v>
      </c>
      <c r="F141" s="74">
        <v>0</v>
      </c>
      <c r="G141" s="74">
        <v>0</v>
      </c>
      <c r="H141" s="74">
        <v>0</v>
      </c>
      <c r="I141" s="74">
        <v>0</v>
      </c>
      <c r="J141" s="74">
        <v>0</v>
      </c>
      <c r="K141" s="74">
        <v>0</v>
      </c>
      <c r="L141" s="74">
        <v>0</v>
      </c>
      <c r="M141" s="74">
        <v>0</v>
      </c>
      <c r="N141" s="74">
        <v>0</v>
      </c>
      <c r="O141" s="74">
        <v>0</v>
      </c>
      <c r="P141" s="74">
        <v>0</v>
      </c>
      <c r="Q141" s="162">
        <f t="shared" si="19"/>
        <v>0</v>
      </c>
      <c r="R141" s="162">
        <v>0</v>
      </c>
      <c r="U141" s="148"/>
      <c r="V141" s="40">
        <f t="shared" si="14"/>
        <v>0</v>
      </c>
    </row>
    <row r="142" spans="1:23" s="77" customFormat="1" ht="25.4" hidden="1" customHeight="1">
      <c r="A142" s="3" t="s">
        <v>425</v>
      </c>
      <c r="B142" s="3" t="s">
        <v>384</v>
      </c>
      <c r="C142" s="3"/>
      <c r="D142" s="3" t="s">
        <v>385</v>
      </c>
      <c r="E142" s="74">
        <v>0</v>
      </c>
      <c r="F142" s="74">
        <v>0</v>
      </c>
      <c r="G142" s="74">
        <v>0</v>
      </c>
      <c r="H142" s="74">
        <v>0</v>
      </c>
      <c r="I142" s="74">
        <v>0</v>
      </c>
      <c r="J142" s="74">
        <v>0</v>
      </c>
      <c r="K142" s="74">
        <v>0</v>
      </c>
      <c r="L142" s="74">
        <v>0</v>
      </c>
      <c r="M142" s="74">
        <v>0</v>
      </c>
      <c r="N142" s="74">
        <v>0</v>
      </c>
      <c r="O142" s="74">
        <v>0</v>
      </c>
      <c r="P142" s="74">
        <v>0</v>
      </c>
      <c r="Q142" s="162">
        <f t="shared" si="19"/>
        <v>0</v>
      </c>
      <c r="R142" s="162">
        <v>0</v>
      </c>
      <c r="U142" s="148"/>
      <c r="V142" s="40">
        <f t="shared" si="14"/>
        <v>0</v>
      </c>
    </row>
    <row r="143" spans="1:23" s="77" customFormat="1" ht="25.4" hidden="1" customHeight="1">
      <c r="A143" s="3" t="s">
        <v>425</v>
      </c>
      <c r="B143" s="3" t="s">
        <v>386</v>
      </c>
      <c r="C143" s="3"/>
      <c r="D143" s="3" t="s">
        <v>369</v>
      </c>
      <c r="E143" s="74">
        <v>0</v>
      </c>
      <c r="F143" s="74">
        <v>0</v>
      </c>
      <c r="G143" s="74">
        <v>0</v>
      </c>
      <c r="H143" s="74">
        <v>0</v>
      </c>
      <c r="I143" s="74">
        <v>0</v>
      </c>
      <c r="J143" s="74">
        <v>0</v>
      </c>
      <c r="K143" s="74">
        <v>0</v>
      </c>
      <c r="L143" s="74">
        <v>0</v>
      </c>
      <c r="M143" s="74">
        <v>0</v>
      </c>
      <c r="N143" s="74">
        <v>0</v>
      </c>
      <c r="O143" s="74">
        <v>0</v>
      </c>
      <c r="P143" s="74">
        <v>0</v>
      </c>
      <c r="Q143" s="162">
        <f t="shared" si="19"/>
        <v>0</v>
      </c>
      <c r="R143" s="162">
        <v>0</v>
      </c>
      <c r="U143" s="148"/>
      <c r="V143" s="40">
        <f t="shared" si="14"/>
        <v>0</v>
      </c>
    </row>
    <row r="144" spans="1:23" s="77" customFormat="1" ht="25.4" hidden="1" customHeight="1">
      <c r="A144" s="3" t="s">
        <v>425</v>
      </c>
      <c r="B144" s="3" t="s">
        <v>387</v>
      </c>
      <c r="C144" s="3"/>
      <c r="D144" s="3" t="s">
        <v>388</v>
      </c>
      <c r="E144" s="74">
        <v>0</v>
      </c>
      <c r="F144" s="74">
        <v>0</v>
      </c>
      <c r="G144" s="74">
        <v>0</v>
      </c>
      <c r="H144" s="74">
        <v>0</v>
      </c>
      <c r="I144" s="74">
        <v>0</v>
      </c>
      <c r="J144" s="74">
        <v>0</v>
      </c>
      <c r="K144" s="74">
        <v>0</v>
      </c>
      <c r="L144" s="74">
        <v>0</v>
      </c>
      <c r="M144" s="74">
        <v>0</v>
      </c>
      <c r="N144" s="74">
        <v>0</v>
      </c>
      <c r="O144" s="74">
        <v>0</v>
      </c>
      <c r="P144" s="74">
        <v>0</v>
      </c>
      <c r="Q144" s="162">
        <f t="shared" si="19"/>
        <v>0</v>
      </c>
      <c r="R144" s="162">
        <v>0</v>
      </c>
      <c r="U144" s="148"/>
      <c r="V144" s="40">
        <f t="shared" si="14"/>
        <v>0</v>
      </c>
    </row>
    <row r="145" spans="1:22" s="77" customFormat="1" ht="25.4" hidden="1" customHeight="1">
      <c r="A145" s="3" t="s">
        <v>425</v>
      </c>
      <c r="B145" s="3" t="s">
        <v>389</v>
      </c>
      <c r="C145" s="3"/>
      <c r="D145" s="3" t="s">
        <v>390</v>
      </c>
      <c r="E145" s="74">
        <v>0</v>
      </c>
      <c r="F145" s="74">
        <v>0</v>
      </c>
      <c r="G145" s="74">
        <v>0</v>
      </c>
      <c r="H145" s="74">
        <v>0</v>
      </c>
      <c r="I145" s="74">
        <v>0</v>
      </c>
      <c r="J145" s="74">
        <v>0</v>
      </c>
      <c r="K145" s="74">
        <v>0</v>
      </c>
      <c r="L145" s="74">
        <v>0</v>
      </c>
      <c r="M145" s="74">
        <v>0</v>
      </c>
      <c r="N145" s="74">
        <v>0</v>
      </c>
      <c r="O145" s="74">
        <v>0</v>
      </c>
      <c r="P145" s="74">
        <v>0</v>
      </c>
      <c r="Q145" s="162">
        <f t="shared" si="19"/>
        <v>0</v>
      </c>
      <c r="R145" s="162">
        <v>0</v>
      </c>
      <c r="U145" s="148"/>
      <c r="V145" s="40">
        <f t="shared" si="14"/>
        <v>0</v>
      </c>
    </row>
    <row r="146" spans="1:22" s="77" customFormat="1" ht="25.4" customHeight="1">
      <c r="A146" s="3" t="s">
        <v>425</v>
      </c>
      <c r="B146" s="3" t="s">
        <v>393</v>
      </c>
      <c r="C146" s="3"/>
      <c r="D146" s="3" t="s">
        <v>394</v>
      </c>
      <c r="E146" s="74">
        <f>+'Room Service'!E117</f>
        <v>32</v>
      </c>
      <c r="F146" s="74">
        <f>+'Room Service'!F117</f>
        <v>30</v>
      </c>
      <c r="G146" s="74">
        <f>+'Room Service'!G117</f>
        <v>32</v>
      </c>
      <c r="H146" s="74">
        <f>+'Room Service'!H117</f>
        <v>31</v>
      </c>
      <c r="I146" s="74">
        <f>+'Room Service'!I117</f>
        <v>32</v>
      </c>
      <c r="J146" s="74">
        <f>+'Room Service'!J117</f>
        <v>31</v>
      </c>
      <c r="K146" s="74">
        <f>+'Room Service'!K117</f>
        <v>32</v>
      </c>
      <c r="L146" s="74">
        <f>+'Room Service'!L117</f>
        <v>32</v>
      </c>
      <c r="M146" s="74">
        <f>+'Room Service'!M117</f>
        <v>31</v>
      </c>
      <c r="N146" s="74">
        <f>+'Room Service'!N117</f>
        <v>32</v>
      </c>
      <c r="O146" s="74">
        <f>+'Room Service'!O117</f>
        <v>31</v>
      </c>
      <c r="P146" s="74">
        <f>+'Room Service'!P117</f>
        <v>32</v>
      </c>
      <c r="Q146" s="162">
        <f t="shared" si="19"/>
        <v>378</v>
      </c>
      <c r="R146" s="162">
        <v>5376</v>
      </c>
      <c r="U146" s="148"/>
      <c r="V146" s="40" t="e">
        <f t="shared" si="14"/>
        <v>#DIV/0!</v>
      </c>
    </row>
    <row r="147" spans="1:22" s="77" customFormat="1" ht="25.4" customHeight="1">
      <c r="A147" s="3" t="s">
        <v>425</v>
      </c>
      <c r="B147" s="3" t="s">
        <v>395</v>
      </c>
      <c r="C147" s="3"/>
      <c r="D147" s="3" t="s">
        <v>396</v>
      </c>
      <c r="E147" s="74">
        <f>+Banquet!E118</f>
        <v>1360</v>
      </c>
      <c r="F147" s="74">
        <f>+Banquet!F118</f>
        <v>35</v>
      </c>
      <c r="G147" s="74">
        <f>+Banquet!G118</f>
        <v>1700</v>
      </c>
      <c r="H147" s="74">
        <f>+Banquet!H118</f>
        <v>1080</v>
      </c>
      <c r="I147" s="74">
        <f>+Banquet!I118</f>
        <v>1470</v>
      </c>
      <c r="J147" s="74">
        <f>+Banquet!J118</f>
        <v>1690</v>
      </c>
      <c r="K147" s="74">
        <f>+Banquet!K118</f>
        <v>1360</v>
      </c>
      <c r="L147" s="74">
        <f>+Banquet!L118</f>
        <v>780</v>
      </c>
      <c r="M147" s="74">
        <f>+Banquet!M118</f>
        <v>185</v>
      </c>
      <c r="N147" s="74">
        <f>+Banquet!N118</f>
        <v>2720</v>
      </c>
      <c r="O147" s="74">
        <f>+Banquet!O118</f>
        <v>2680</v>
      </c>
      <c r="P147" s="74">
        <f>+Banquet!P118</f>
        <v>2350</v>
      </c>
      <c r="Q147" s="162">
        <f t="shared" si="19"/>
        <v>17410</v>
      </c>
      <c r="R147" s="162">
        <v>11529</v>
      </c>
      <c r="U147" s="148"/>
      <c r="V147" s="40" t="e">
        <f t="shared" si="14"/>
        <v>#DIV/0!</v>
      </c>
    </row>
    <row r="148" spans="1:22" s="77" customFormat="1" ht="25.4" customHeight="1">
      <c r="A148" s="3"/>
      <c r="B148" s="3"/>
      <c r="C148" s="3"/>
      <c r="D148" s="19" t="s">
        <v>427</v>
      </c>
      <c r="E148" s="160">
        <f>SUM(E134:E147)</f>
        <v>9860</v>
      </c>
      <c r="F148" s="160">
        <f t="shared" ref="F148:Q148" si="20">SUM(F134:F147)</f>
        <v>9274</v>
      </c>
      <c r="G148" s="160">
        <f t="shared" si="20"/>
        <v>10007</v>
      </c>
      <c r="H148" s="160">
        <f t="shared" si="20"/>
        <v>9425</v>
      </c>
      <c r="I148" s="160">
        <f t="shared" si="20"/>
        <v>10246</v>
      </c>
      <c r="J148" s="160">
        <f t="shared" si="20"/>
        <v>9978</v>
      </c>
      <c r="K148" s="160">
        <f t="shared" si="20"/>
        <v>12816</v>
      </c>
      <c r="L148" s="160">
        <f t="shared" si="20"/>
        <v>12486</v>
      </c>
      <c r="M148" s="160">
        <f t="shared" si="20"/>
        <v>7990</v>
      </c>
      <c r="N148" s="160">
        <f t="shared" si="20"/>
        <v>12662</v>
      </c>
      <c r="O148" s="160">
        <f t="shared" si="20"/>
        <v>12219</v>
      </c>
      <c r="P148" s="160">
        <f t="shared" si="20"/>
        <v>12622</v>
      </c>
      <c r="Q148" s="160">
        <f t="shared" si="20"/>
        <v>129585</v>
      </c>
      <c r="R148" s="160">
        <v>175765</v>
      </c>
      <c r="U148" s="148"/>
      <c r="V148" s="40" t="e">
        <f t="shared" si="14"/>
        <v>#DIV/0!</v>
      </c>
    </row>
    <row r="149" spans="1:22" s="77" customFormat="1" ht="25.4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52"/>
      <c r="U149" s="148"/>
      <c r="V149" s="40"/>
    </row>
    <row r="150" spans="1:22" s="77" customFormat="1" ht="25.4" customHeight="1">
      <c r="A150" s="3"/>
      <c r="B150" s="3"/>
      <c r="C150" s="3"/>
      <c r="D150" s="19" t="s">
        <v>428</v>
      </c>
      <c r="E150" s="3"/>
      <c r="F150" s="3"/>
      <c r="G150" s="3"/>
      <c r="H150" s="3"/>
      <c r="I150" s="3"/>
      <c r="J150" s="3"/>
      <c r="K150" s="3"/>
      <c r="L150" s="152"/>
      <c r="U150" s="148"/>
      <c r="V150" s="40"/>
    </row>
    <row r="151" spans="1:22" s="77" customFormat="1" ht="25.4" customHeight="1">
      <c r="A151" s="3"/>
      <c r="B151" s="3"/>
      <c r="C151" s="3"/>
      <c r="D151" s="26" t="s">
        <v>400</v>
      </c>
      <c r="E151" s="163">
        <f t="shared" ref="E151:Q151" si="21">IF(E134=0,0,ROUND(E12/E134,2))</f>
        <v>0</v>
      </c>
      <c r="F151" s="163">
        <f t="shared" si="21"/>
        <v>0</v>
      </c>
      <c r="G151" s="163">
        <f t="shared" si="21"/>
        <v>0</v>
      </c>
      <c r="H151" s="61">
        <f t="shared" si="21"/>
        <v>0</v>
      </c>
      <c r="I151" s="61">
        <f t="shared" si="21"/>
        <v>0</v>
      </c>
      <c r="J151" s="61">
        <f t="shared" si="21"/>
        <v>0</v>
      </c>
      <c r="K151" s="61">
        <f t="shared" si="21"/>
        <v>0</v>
      </c>
      <c r="L151" s="61">
        <f t="shared" si="21"/>
        <v>0</v>
      </c>
      <c r="M151" s="61">
        <f t="shared" si="21"/>
        <v>0</v>
      </c>
      <c r="N151" s="61">
        <f t="shared" si="21"/>
        <v>0</v>
      </c>
      <c r="O151" s="61">
        <f t="shared" si="21"/>
        <v>0</v>
      </c>
      <c r="P151" s="61">
        <f t="shared" si="21"/>
        <v>0</v>
      </c>
      <c r="Q151" s="61">
        <f t="shared" si="21"/>
        <v>0</v>
      </c>
      <c r="R151" s="163">
        <v>95.54</v>
      </c>
      <c r="U151" s="148"/>
      <c r="V151" s="40">
        <f t="shared" ref="V151:V165" si="22">IF(Q151-U151=0,0,(Q151-U151)/U151)</f>
        <v>0</v>
      </c>
    </row>
    <row r="152" spans="1:22" s="77" customFormat="1" ht="25.4" customHeight="1">
      <c r="A152" s="3"/>
      <c r="B152" s="3"/>
      <c r="C152" s="3"/>
      <c r="D152" s="26" t="s">
        <v>1332</v>
      </c>
      <c r="E152" s="163">
        <f t="shared" ref="E152:Q152" si="23">IF(E135=0,0,ROUND(E13/E135,2))</f>
        <v>116.08</v>
      </c>
      <c r="F152" s="163">
        <f t="shared" si="23"/>
        <v>111.35</v>
      </c>
      <c r="G152" s="163">
        <f t="shared" si="23"/>
        <v>116.97</v>
      </c>
      <c r="H152" s="61">
        <f t="shared" si="23"/>
        <v>115.82</v>
      </c>
      <c r="I152" s="61">
        <f t="shared" si="23"/>
        <v>114.95</v>
      </c>
      <c r="J152" s="61">
        <f t="shared" si="23"/>
        <v>116.07</v>
      </c>
      <c r="K152" s="61">
        <f t="shared" si="23"/>
        <v>108.9</v>
      </c>
      <c r="L152" s="61">
        <f t="shared" si="23"/>
        <v>108.57</v>
      </c>
      <c r="M152" s="61">
        <f t="shared" si="23"/>
        <v>118.6</v>
      </c>
      <c r="N152" s="61">
        <f t="shared" si="23"/>
        <v>111.54</v>
      </c>
      <c r="O152" s="61">
        <f t="shared" si="23"/>
        <v>111.88</v>
      </c>
      <c r="P152" s="61">
        <f t="shared" si="23"/>
        <v>110.84</v>
      </c>
      <c r="Q152" s="61">
        <f t="shared" si="23"/>
        <v>112.65</v>
      </c>
      <c r="R152" s="163">
        <v>128.96</v>
      </c>
      <c r="U152" s="148"/>
      <c r="V152" s="40" t="e">
        <f t="shared" si="22"/>
        <v>#DIV/0!</v>
      </c>
    </row>
    <row r="153" spans="1:22" s="77" customFormat="1" ht="25.4" customHeight="1">
      <c r="A153" s="3"/>
      <c r="B153" s="3"/>
      <c r="C153" s="3"/>
      <c r="D153" s="26" t="s">
        <v>373</v>
      </c>
      <c r="E153" s="163">
        <f t="shared" ref="E153:Q153" si="24">IF(E136=0,0,ROUND(E14/E136,2))</f>
        <v>365</v>
      </c>
      <c r="F153" s="163">
        <f t="shared" si="24"/>
        <v>365</v>
      </c>
      <c r="G153" s="163">
        <f t="shared" si="24"/>
        <v>365</v>
      </c>
      <c r="H153" s="61">
        <f t="shared" si="24"/>
        <v>365</v>
      </c>
      <c r="I153" s="61">
        <f t="shared" si="24"/>
        <v>365</v>
      </c>
      <c r="J153" s="61">
        <f t="shared" si="24"/>
        <v>365</v>
      </c>
      <c r="K153" s="61">
        <f t="shared" si="24"/>
        <v>365</v>
      </c>
      <c r="L153" s="61">
        <f t="shared" si="24"/>
        <v>365</v>
      </c>
      <c r="M153" s="61">
        <f t="shared" si="24"/>
        <v>370</v>
      </c>
      <c r="N153" s="61">
        <f t="shared" si="24"/>
        <v>375</v>
      </c>
      <c r="O153" s="61">
        <f t="shared" si="24"/>
        <v>375</v>
      </c>
      <c r="P153" s="61">
        <f t="shared" si="24"/>
        <v>375</v>
      </c>
      <c r="Q153" s="61">
        <f t="shared" si="24"/>
        <v>367.92</v>
      </c>
      <c r="R153" s="163">
        <v>817.83</v>
      </c>
      <c r="U153" s="148"/>
      <c r="V153" s="40" t="e">
        <f t="shared" si="22"/>
        <v>#DIV/0!</v>
      </c>
    </row>
    <row r="154" spans="1:22" s="77" customFormat="1" ht="25.4" customHeight="1">
      <c r="A154" s="3"/>
      <c r="B154" s="3"/>
      <c r="C154" s="3"/>
      <c r="D154" s="26" t="s">
        <v>1331</v>
      </c>
      <c r="E154" s="163">
        <f t="shared" ref="E154:Q154" si="25">IF(E137=0,0,ROUND(E15/E137,2))</f>
        <v>0</v>
      </c>
      <c r="F154" s="163">
        <f t="shared" si="25"/>
        <v>0</v>
      </c>
      <c r="G154" s="163">
        <f t="shared" si="25"/>
        <v>0</v>
      </c>
      <c r="H154" s="61">
        <f t="shared" si="25"/>
        <v>0</v>
      </c>
      <c r="I154" s="61">
        <f t="shared" si="25"/>
        <v>0</v>
      </c>
      <c r="J154" s="61">
        <f t="shared" si="25"/>
        <v>0</v>
      </c>
      <c r="K154" s="61">
        <f t="shared" si="25"/>
        <v>0</v>
      </c>
      <c r="L154" s="61">
        <f t="shared" si="25"/>
        <v>0</v>
      </c>
      <c r="M154" s="61">
        <f t="shared" si="25"/>
        <v>0</v>
      </c>
      <c r="N154" s="61">
        <f t="shared" si="25"/>
        <v>0</v>
      </c>
      <c r="O154" s="61">
        <f t="shared" si="25"/>
        <v>0</v>
      </c>
      <c r="P154" s="61">
        <f t="shared" si="25"/>
        <v>0</v>
      </c>
      <c r="Q154" s="61">
        <f t="shared" si="25"/>
        <v>0</v>
      </c>
      <c r="R154" s="163">
        <v>27.12</v>
      </c>
      <c r="U154" s="148"/>
      <c r="V154" s="40">
        <f t="shared" si="22"/>
        <v>0</v>
      </c>
    </row>
    <row r="155" spans="1:22" s="77" customFormat="1" ht="25.4" customHeight="1">
      <c r="A155" s="3"/>
      <c r="B155" s="3"/>
      <c r="C155" s="3"/>
      <c r="D155" s="26" t="s">
        <v>1330</v>
      </c>
      <c r="E155" s="163">
        <f t="shared" ref="E155:Q155" si="26">IF(E138=0,0,ROUND(E16/E138,2))</f>
        <v>184.21</v>
      </c>
      <c r="F155" s="163">
        <f t="shared" si="26"/>
        <v>184.21</v>
      </c>
      <c r="G155" s="163">
        <f t="shared" si="26"/>
        <v>184.21</v>
      </c>
      <c r="H155" s="61">
        <f t="shared" si="26"/>
        <v>184.21</v>
      </c>
      <c r="I155" s="61">
        <f t="shared" si="26"/>
        <v>184.21</v>
      </c>
      <c r="J155" s="61">
        <f t="shared" si="26"/>
        <v>184.21</v>
      </c>
      <c r="K155" s="61">
        <f t="shared" si="26"/>
        <v>184.21</v>
      </c>
      <c r="L155" s="61">
        <f t="shared" si="26"/>
        <v>184.21</v>
      </c>
      <c r="M155" s="61">
        <f t="shared" si="26"/>
        <v>184.21</v>
      </c>
      <c r="N155" s="61">
        <f t="shared" si="26"/>
        <v>184.21</v>
      </c>
      <c r="O155" s="61">
        <f t="shared" si="26"/>
        <v>184.21</v>
      </c>
      <c r="P155" s="61">
        <f t="shared" si="26"/>
        <v>184.21</v>
      </c>
      <c r="Q155" s="61">
        <f t="shared" si="26"/>
        <v>184.21</v>
      </c>
      <c r="R155" s="163">
        <v>83.4</v>
      </c>
      <c r="U155" s="148"/>
      <c r="V155" s="40" t="e">
        <f t="shared" si="22"/>
        <v>#DIV/0!</v>
      </c>
    </row>
    <row r="156" spans="1:22" s="77" customFormat="1" ht="25.4" hidden="1" customHeight="1">
      <c r="A156" s="3"/>
      <c r="B156" s="3"/>
      <c r="C156" s="3"/>
      <c r="D156" s="3" t="s">
        <v>379</v>
      </c>
      <c r="E156" s="163">
        <f t="shared" ref="E156:Q156" si="27">IF(E139=0,0,ROUND(E17/E139,2))</f>
        <v>0</v>
      </c>
      <c r="F156" s="163">
        <f t="shared" si="27"/>
        <v>0</v>
      </c>
      <c r="G156" s="163">
        <f t="shared" si="27"/>
        <v>0</v>
      </c>
      <c r="H156" s="61">
        <f t="shared" si="27"/>
        <v>0</v>
      </c>
      <c r="I156" s="61">
        <f t="shared" si="27"/>
        <v>0</v>
      </c>
      <c r="J156" s="61">
        <f t="shared" si="27"/>
        <v>0</v>
      </c>
      <c r="K156" s="61">
        <f t="shared" si="27"/>
        <v>0</v>
      </c>
      <c r="L156" s="61">
        <f t="shared" si="27"/>
        <v>0</v>
      </c>
      <c r="M156" s="61">
        <f t="shared" si="27"/>
        <v>0</v>
      </c>
      <c r="N156" s="61">
        <f t="shared" si="27"/>
        <v>0</v>
      </c>
      <c r="O156" s="61">
        <f t="shared" si="27"/>
        <v>0</v>
      </c>
      <c r="P156" s="61">
        <f t="shared" si="27"/>
        <v>0</v>
      </c>
      <c r="Q156" s="61">
        <f t="shared" si="27"/>
        <v>0</v>
      </c>
      <c r="R156" s="163">
        <v>0</v>
      </c>
      <c r="U156" s="148"/>
      <c r="V156" s="40">
        <f t="shared" si="22"/>
        <v>0</v>
      </c>
    </row>
    <row r="157" spans="1:22" s="77" customFormat="1" ht="25.4" hidden="1" customHeight="1">
      <c r="A157" s="3"/>
      <c r="B157" s="3"/>
      <c r="C157" s="3"/>
      <c r="D157" s="3" t="s">
        <v>381</v>
      </c>
      <c r="E157" s="163">
        <f t="shared" ref="E157:Q157" si="28">IF(E140=0,0,ROUND(E18/E140,2))</f>
        <v>0</v>
      </c>
      <c r="F157" s="163">
        <f t="shared" si="28"/>
        <v>0</v>
      </c>
      <c r="G157" s="163">
        <f t="shared" si="28"/>
        <v>0</v>
      </c>
      <c r="H157" s="61">
        <f t="shared" si="28"/>
        <v>0</v>
      </c>
      <c r="I157" s="61">
        <f t="shared" si="28"/>
        <v>0</v>
      </c>
      <c r="J157" s="61">
        <f t="shared" si="28"/>
        <v>0</v>
      </c>
      <c r="K157" s="61">
        <f t="shared" si="28"/>
        <v>0</v>
      </c>
      <c r="L157" s="61">
        <f t="shared" si="28"/>
        <v>0</v>
      </c>
      <c r="M157" s="61">
        <f t="shared" si="28"/>
        <v>0</v>
      </c>
      <c r="N157" s="61">
        <f t="shared" si="28"/>
        <v>0</v>
      </c>
      <c r="O157" s="61">
        <f t="shared" si="28"/>
        <v>0</v>
      </c>
      <c r="P157" s="61">
        <f t="shared" si="28"/>
        <v>0</v>
      </c>
      <c r="Q157" s="61">
        <f t="shared" si="28"/>
        <v>0</v>
      </c>
      <c r="R157" s="163">
        <v>0</v>
      </c>
      <c r="U157" s="148"/>
      <c r="V157" s="40">
        <f t="shared" si="22"/>
        <v>0</v>
      </c>
    </row>
    <row r="158" spans="1:22" s="77" customFormat="1" ht="25.4" hidden="1" customHeight="1">
      <c r="A158" s="3"/>
      <c r="B158" s="3"/>
      <c r="C158" s="3"/>
      <c r="D158" s="3" t="s">
        <v>383</v>
      </c>
      <c r="E158" s="163">
        <f t="shared" ref="E158:Q158" si="29">IF(E141=0,0,ROUND(E19/E141,2))</f>
        <v>0</v>
      </c>
      <c r="F158" s="163">
        <f t="shared" si="29"/>
        <v>0</v>
      </c>
      <c r="G158" s="163">
        <f t="shared" si="29"/>
        <v>0</v>
      </c>
      <c r="H158" s="61">
        <f t="shared" si="29"/>
        <v>0</v>
      </c>
      <c r="I158" s="61">
        <f t="shared" si="29"/>
        <v>0</v>
      </c>
      <c r="J158" s="61">
        <f t="shared" si="29"/>
        <v>0</v>
      </c>
      <c r="K158" s="61">
        <f t="shared" si="29"/>
        <v>0</v>
      </c>
      <c r="L158" s="61">
        <f t="shared" si="29"/>
        <v>0</v>
      </c>
      <c r="M158" s="61">
        <f t="shared" si="29"/>
        <v>0</v>
      </c>
      <c r="N158" s="61">
        <f t="shared" si="29"/>
        <v>0</v>
      </c>
      <c r="O158" s="61">
        <f t="shared" si="29"/>
        <v>0</v>
      </c>
      <c r="P158" s="61">
        <f t="shared" si="29"/>
        <v>0</v>
      </c>
      <c r="Q158" s="61">
        <f t="shared" si="29"/>
        <v>0</v>
      </c>
      <c r="R158" s="163">
        <v>0</v>
      </c>
      <c r="U158" s="148"/>
      <c r="V158" s="40">
        <f t="shared" si="22"/>
        <v>0</v>
      </c>
    </row>
    <row r="159" spans="1:22" s="77" customFormat="1" ht="25.4" hidden="1" customHeight="1">
      <c r="A159" s="3"/>
      <c r="B159" s="3"/>
      <c r="C159" s="3"/>
      <c r="D159" s="3" t="s">
        <v>385</v>
      </c>
      <c r="E159" s="163">
        <f t="shared" ref="E159:Q159" si="30">IF(E142=0,0,ROUND(E20/E142,2))</f>
        <v>0</v>
      </c>
      <c r="F159" s="163">
        <f t="shared" si="30"/>
        <v>0</v>
      </c>
      <c r="G159" s="163">
        <f t="shared" si="30"/>
        <v>0</v>
      </c>
      <c r="H159" s="61">
        <f t="shared" si="30"/>
        <v>0</v>
      </c>
      <c r="I159" s="61">
        <f t="shared" si="30"/>
        <v>0</v>
      </c>
      <c r="J159" s="61">
        <f t="shared" si="30"/>
        <v>0</v>
      </c>
      <c r="K159" s="61">
        <f t="shared" si="30"/>
        <v>0</v>
      </c>
      <c r="L159" s="61">
        <f t="shared" si="30"/>
        <v>0</v>
      </c>
      <c r="M159" s="61">
        <f t="shared" si="30"/>
        <v>0</v>
      </c>
      <c r="N159" s="61">
        <f t="shared" si="30"/>
        <v>0</v>
      </c>
      <c r="O159" s="61">
        <f t="shared" si="30"/>
        <v>0</v>
      </c>
      <c r="P159" s="61">
        <f t="shared" si="30"/>
        <v>0</v>
      </c>
      <c r="Q159" s="61">
        <f t="shared" si="30"/>
        <v>0</v>
      </c>
      <c r="R159" s="163">
        <v>0</v>
      </c>
      <c r="U159" s="148"/>
      <c r="V159" s="40">
        <f t="shared" si="22"/>
        <v>0</v>
      </c>
    </row>
    <row r="160" spans="1:22" s="77" customFormat="1" ht="25.4" hidden="1" customHeight="1">
      <c r="A160" s="3"/>
      <c r="B160" s="3"/>
      <c r="C160" s="3"/>
      <c r="D160" s="3" t="s">
        <v>369</v>
      </c>
      <c r="E160" s="163">
        <f t="shared" ref="E160:Q160" si="31">IF(E143=0,0,ROUND(E21/E143,2))</f>
        <v>0</v>
      </c>
      <c r="F160" s="163">
        <f t="shared" si="31"/>
        <v>0</v>
      </c>
      <c r="G160" s="163">
        <f t="shared" si="31"/>
        <v>0</v>
      </c>
      <c r="H160" s="61">
        <f t="shared" si="31"/>
        <v>0</v>
      </c>
      <c r="I160" s="61">
        <f t="shared" si="31"/>
        <v>0</v>
      </c>
      <c r="J160" s="61">
        <f t="shared" si="31"/>
        <v>0</v>
      </c>
      <c r="K160" s="61">
        <f t="shared" si="31"/>
        <v>0</v>
      </c>
      <c r="L160" s="61">
        <f t="shared" si="31"/>
        <v>0</v>
      </c>
      <c r="M160" s="61">
        <f t="shared" si="31"/>
        <v>0</v>
      </c>
      <c r="N160" s="61">
        <f t="shared" si="31"/>
        <v>0</v>
      </c>
      <c r="O160" s="61">
        <f t="shared" si="31"/>
        <v>0</v>
      </c>
      <c r="P160" s="61">
        <f t="shared" si="31"/>
        <v>0</v>
      </c>
      <c r="Q160" s="61">
        <f t="shared" si="31"/>
        <v>0</v>
      </c>
      <c r="R160" s="163">
        <v>0</v>
      </c>
      <c r="U160" s="148"/>
      <c r="V160" s="40">
        <f t="shared" si="22"/>
        <v>0</v>
      </c>
    </row>
    <row r="161" spans="1:22" s="77" customFormat="1" ht="25.4" hidden="1" customHeight="1">
      <c r="A161" s="3"/>
      <c r="B161" s="3"/>
      <c r="C161" s="3"/>
      <c r="D161" s="3" t="s">
        <v>388</v>
      </c>
      <c r="E161" s="163">
        <f t="shared" ref="E161:Q161" si="32">IF(E144=0,0,ROUND(E22/E144,2))</f>
        <v>0</v>
      </c>
      <c r="F161" s="163">
        <f t="shared" si="32"/>
        <v>0</v>
      </c>
      <c r="G161" s="163">
        <f t="shared" si="32"/>
        <v>0</v>
      </c>
      <c r="H161" s="61">
        <f t="shared" si="32"/>
        <v>0</v>
      </c>
      <c r="I161" s="61">
        <f t="shared" si="32"/>
        <v>0</v>
      </c>
      <c r="J161" s="61">
        <f t="shared" si="32"/>
        <v>0</v>
      </c>
      <c r="K161" s="61">
        <f t="shared" si="32"/>
        <v>0</v>
      </c>
      <c r="L161" s="61">
        <f t="shared" si="32"/>
        <v>0</v>
      </c>
      <c r="M161" s="61">
        <f t="shared" si="32"/>
        <v>0</v>
      </c>
      <c r="N161" s="61">
        <f t="shared" si="32"/>
        <v>0</v>
      </c>
      <c r="O161" s="61">
        <f t="shared" si="32"/>
        <v>0</v>
      </c>
      <c r="P161" s="61">
        <f t="shared" si="32"/>
        <v>0</v>
      </c>
      <c r="Q161" s="61">
        <f t="shared" si="32"/>
        <v>0</v>
      </c>
      <c r="R161" s="163">
        <v>0</v>
      </c>
      <c r="U161" s="148"/>
      <c r="V161" s="40">
        <f t="shared" si="22"/>
        <v>0</v>
      </c>
    </row>
    <row r="162" spans="1:22" s="77" customFormat="1" ht="25.4" hidden="1" customHeight="1">
      <c r="A162" s="3"/>
      <c r="B162" s="3"/>
      <c r="C162" s="3"/>
      <c r="D162" s="3" t="s">
        <v>390</v>
      </c>
      <c r="E162" s="163">
        <f t="shared" ref="E162:Q162" si="33">IF(E145=0,0,ROUND(E23/E145,2))</f>
        <v>0</v>
      </c>
      <c r="F162" s="163">
        <f t="shared" si="33"/>
        <v>0</v>
      </c>
      <c r="G162" s="163">
        <f t="shared" si="33"/>
        <v>0</v>
      </c>
      <c r="H162" s="61">
        <f t="shared" si="33"/>
        <v>0</v>
      </c>
      <c r="I162" s="61">
        <f t="shared" si="33"/>
        <v>0</v>
      </c>
      <c r="J162" s="61">
        <f t="shared" si="33"/>
        <v>0</v>
      </c>
      <c r="K162" s="61">
        <f t="shared" si="33"/>
        <v>0</v>
      </c>
      <c r="L162" s="61">
        <f t="shared" si="33"/>
        <v>0</v>
      </c>
      <c r="M162" s="61">
        <f t="shared" si="33"/>
        <v>0</v>
      </c>
      <c r="N162" s="61">
        <f t="shared" si="33"/>
        <v>0</v>
      </c>
      <c r="O162" s="61">
        <f t="shared" si="33"/>
        <v>0</v>
      </c>
      <c r="P162" s="61">
        <f t="shared" si="33"/>
        <v>0</v>
      </c>
      <c r="Q162" s="61">
        <f t="shared" si="33"/>
        <v>0</v>
      </c>
      <c r="R162" s="163">
        <v>0</v>
      </c>
      <c r="U162" s="148"/>
      <c r="V162" s="40">
        <f t="shared" si="22"/>
        <v>0</v>
      </c>
    </row>
    <row r="163" spans="1:22" s="77" customFormat="1" ht="25.4" customHeight="1">
      <c r="A163" s="3"/>
      <c r="B163" s="3"/>
      <c r="C163" s="3"/>
      <c r="D163" s="3" t="s">
        <v>394</v>
      </c>
      <c r="E163" s="163">
        <f t="shared" ref="E163:Q163" si="34">IF(E146=0,0,ROUND(E25/E146,2))</f>
        <v>134.38</v>
      </c>
      <c r="F163" s="163">
        <f t="shared" si="34"/>
        <v>133.33000000000001</v>
      </c>
      <c r="G163" s="163">
        <f t="shared" si="34"/>
        <v>134.38</v>
      </c>
      <c r="H163" s="61">
        <f t="shared" si="34"/>
        <v>133.87</v>
      </c>
      <c r="I163" s="61">
        <f t="shared" si="34"/>
        <v>134.38</v>
      </c>
      <c r="J163" s="61">
        <f t="shared" si="34"/>
        <v>133.87</v>
      </c>
      <c r="K163" s="61">
        <f t="shared" si="34"/>
        <v>134.38</v>
      </c>
      <c r="L163" s="61">
        <f t="shared" si="34"/>
        <v>134.38</v>
      </c>
      <c r="M163" s="61">
        <f t="shared" si="34"/>
        <v>133.87</v>
      </c>
      <c r="N163" s="61">
        <f t="shared" si="34"/>
        <v>134.38</v>
      </c>
      <c r="O163" s="61">
        <f t="shared" si="34"/>
        <v>133.87</v>
      </c>
      <c r="P163" s="61">
        <f t="shared" si="34"/>
        <v>134.38</v>
      </c>
      <c r="Q163" s="61">
        <f t="shared" si="34"/>
        <v>134.13</v>
      </c>
      <c r="R163" s="163">
        <v>112.78</v>
      </c>
      <c r="U163" s="148"/>
      <c r="V163" s="40" t="e">
        <f t="shared" si="22"/>
        <v>#DIV/0!</v>
      </c>
    </row>
    <row r="164" spans="1:22" s="77" customFormat="1" ht="25.4" customHeight="1">
      <c r="A164" s="3"/>
      <c r="B164" s="3"/>
      <c r="C164" s="3"/>
      <c r="D164" s="3" t="s">
        <v>396</v>
      </c>
      <c r="E164" s="163">
        <f t="shared" ref="E164:Q164" si="35">IF(E147=0,0,ROUND(E26/E147,2))</f>
        <v>503.46</v>
      </c>
      <c r="F164" s="163">
        <f t="shared" si="35"/>
        <v>700</v>
      </c>
      <c r="G164" s="163">
        <f t="shared" si="35"/>
        <v>592.26</v>
      </c>
      <c r="H164" s="61">
        <f t="shared" si="35"/>
        <v>579.26</v>
      </c>
      <c r="I164" s="61">
        <f t="shared" si="35"/>
        <v>676.19</v>
      </c>
      <c r="J164" s="61">
        <f t="shared" si="35"/>
        <v>498.11</v>
      </c>
      <c r="K164" s="61">
        <f t="shared" si="35"/>
        <v>522.05999999999995</v>
      </c>
      <c r="L164" s="61">
        <f t="shared" si="35"/>
        <v>617.95000000000005</v>
      </c>
      <c r="M164" s="61">
        <f t="shared" si="35"/>
        <v>600</v>
      </c>
      <c r="N164" s="61">
        <f t="shared" si="35"/>
        <v>700.29</v>
      </c>
      <c r="O164" s="61">
        <f t="shared" si="35"/>
        <v>596.67999999999995</v>
      </c>
      <c r="P164" s="61">
        <f t="shared" si="35"/>
        <v>548</v>
      </c>
      <c r="Q164" s="61">
        <f t="shared" si="35"/>
        <v>590.01</v>
      </c>
      <c r="R164" s="163">
        <v>632.54999999999995</v>
      </c>
      <c r="U164" s="148"/>
      <c r="V164" s="40" t="e">
        <f t="shared" si="22"/>
        <v>#DIV/0!</v>
      </c>
    </row>
    <row r="165" spans="1:22" s="77" customFormat="1" ht="25.4" customHeight="1">
      <c r="A165" s="3"/>
      <c r="B165" s="3"/>
      <c r="C165" s="3"/>
      <c r="D165" s="19" t="s">
        <v>429</v>
      </c>
      <c r="E165" s="164">
        <f>IF(E148=0,0,ROUND((E27+E45)/E148,2))</f>
        <v>241.45</v>
      </c>
      <c r="F165" s="164">
        <f>IF(F148=0,0,ROUND((F27+F45)/F148,2))</f>
        <v>190.09</v>
      </c>
      <c r="G165" s="164">
        <f>IF(G148=0,0,ROUND((G27+G45)/G148,2))</f>
        <v>268.29000000000002</v>
      </c>
      <c r="H165" s="161">
        <f>IF(H148=0,0,ROUND(H27/H148,2))</f>
        <v>238.84</v>
      </c>
      <c r="I165" s="161">
        <f t="shared" ref="I165:Q165" si="36">IF(I148=0,0,ROUND(I27/I148,2))</f>
        <v>260.83</v>
      </c>
      <c r="J165" s="161">
        <f t="shared" si="36"/>
        <v>246.7</v>
      </c>
      <c r="K165" s="161">
        <f t="shared" si="36"/>
        <v>207.28</v>
      </c>
      <c r="L165" s="161">
        <f t="shared" si="36"/>
        <v>196.5</v>
      </c>
      <c r="M165" s="161">
        <f t="shared" si="36"/>
        <v>211.73</v>
      </c>
      <c r="N165" s="161">
        <f t="shared" si="36"/>
        <v>293.67</v>
      </c>
      <c r="O165" s="161">
        <f t="shared" si="36"/>
        <v>275.19</v>
      </c>
      <c r="P165" s="161">
        <f t="shared" si="36"/>
        <v>248.34</v>
      </c>
      <c r="Q165" s="161">
        <f t="shared" si="36"/>
        <v>239.97</v>
      </c>
      <c r="R165" s="164">
        <v>190.76</v>
      </c>
      <c r="U165" s="148"/>
      <c r="V165" s="40" t="e">
        <f t="shared" si="22"/>
        <v>#DIV/0!</v>
      </c>
    </row>
    <row r="166" spans="1:22" s="77" customFormat="1" ht="25.4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52"/>
      <c r="U166" s="148"/>
      <c r="V166" s="40"/>
    </row>
    <row r="167" spans="1:22" s="77" customFormat="1" ht="25.4" customHeight="1">
      <c r="A167" s="3"/>
      <c r="B167" s="3"/>
      <c r="C167" s="3"/>
      <c r="D167" s="19" t="s">
        <v>430</v>
      </c>
      <c r="E167" s="151">
        <f t="shared" ref="E167:Q167" si="37">IF(E148=0,0,ROUND((E57+E59+E130)/E148,2))</f>
        <v>255.15</v>
      </c>
      <c r="F167" s="151">
        <f t="shared" si="37"/>
        <v>224.68</v>
      </c>
      <c r="G167" s="151">
        <f t="shared" si="37"/>
        <v>250.02</v>
      </c>
      <c r="H167" s="151">
        <f t="shared" si="37"/>
        <v>253.56</v>
      </c>
      <c r="I167" s="151">
        <f t="shared" si="37"/>
        <v>263.2</v>
      </c>
      <c r="J167" s="151">
        <f t="shared" si="37"/>
        <v>254.27</v>
      </c>
      <c r="K167" s="151">
        <f t="shared" si="37"/>
        <v>207.48</v>
      </c>
      <c r="L167" s="151">
        <f t="shared" si="37"/>
        <v>205.55</v>
      </c>
      <c r="M167" s="151">
        <f t="shared" si="37"/>
        <v>306.77</v>
      </c>
      <c r="N167" s="151">
        <f t="shared" si="37"/>
        <v>258.02</v>
      </c>
      <c r="O167" s="151">
        <f t="shared" si="37"/>
        <v>245.37</v>
      </c>
      <c r="P167" s="151">
        <f t="shared" si="37"/>
        <v>233.66</v>
      </c>
      <c r="Q167" s="151">
        <f t="shared" si="37"/>
        <v>243.98</v>
      </c>
      <c r="R167" s="151">
        <v>176.07</v>
      </c>
      <c r="U167" s="148"/>
      <c r="V167" s="40" t="e">
        <f>-IF(Q167-U167=0,0,(Q167-U167)/U167)</f>
        <v>#DIV/0!</v>
      </c>
    </row>
    <row r="168" spans="1:22" s="77" customFormat="1" ht="25.4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52"/>
      <c r="U168" s="148"/>
      <c r="V168" s="40"/>
    </row>
    <row r="169" spans="1:22" s="77" customFormat="1" ht="25.4" customHeight="1">
      <c r="A169" s="3"/>
      <c r="B169" s="3"/>
      <c r="C169" s="3"/>
      <c r="D169" s="19" t="s">
        <v>295</v>
      </c>
      <c r="E169" s="3"/>
      <c r="F169" s="3"/>
      <c r="G169" s="3"/>
      <c r="H169" s="3"/>
      <c r="I169" s="3"/>
      <c r="J169" s="3"/>
      <c r="K169" s="3"/>
      <c r="L169" s="152"/>
      <c r="U169" s="148"/>
      <c r="V169" s="40"/>
    </row>
    <row r="170" spans="1:22" s="77" customFormat="1" ht="25.4" customHeight="1">
      <c r="A170" s="3"/>
      <c r="B170" s="3"/>
      <c r="C170" s="3"/>
      <c r="D170" s="19" t="s">
        <v>431</v>
      </c>
      <c r="E170" s="3"/>
      <c r="F170" s="3"/>
      <c r="G170" s="3"/>
      <c r="H170" s="3"/>
      <c r="I170" s="3"/>
      <c r="J170" s="3"/>
      <c r="K170" s="3"/>
      <c r="L170" s="152"/>
      <c r="U170" s="148"/>
      <c r="V170" s="40"/>
    </row>
    <row r="171" spans="1:22" s="77" customFormat="1" ht="25.4" customHeight="1">
      <c r="A171" s="3" t="s">
        <v>297</v>
      </c>
      <c r="B171" s="69" t="s">
        <v>432</v>
      </c>
      <c r="C171" s="3"/>
      <c r="D171" s="3" t="s">
        <v>299</v>
      </c>
      <c r="E171" s="63">
        <f>'Lobby Lounge'!E131+'Fangfei Lounge'!E131+'Royal Court'!E131+'MP Cafe'!E131+'Pingju Zhuhai'!E131+'Room Service'!E131+Banquet!E132+STW!E90+'Main Kitchen'!E90+'F&amp;B Admin'!E90</f>
        <v>183500</v>
      </c>
      <c r="F171" s="63">
        <f>'Lobby Lounge'!F131+'Fangfei Lounge'!F131+'Royal Court'!F131+'MP Cafe'!F131+'Pingju Zhuhai'!F131+'Room Service'!F131+Banquet!F132+STW!F90+'Main Kitchen'!F90+'F&amp;B Admin'!F90</f>
        <v>183500</v>
      </c>
      <c r="G171" s="63">
        <f>'Lobby Lounge'!G131+'Fangfei Lounge'!G131+'Royal Court'!G131+'MP Cafe'!G131+'Pingju Zhuhai'!G131+'Room Service'!G131+Banquet!G132+STW!G90+'Main Kitchen'!G90+'F&amp;B Admin'!G90</f>
        <v>183500</v>
      </c>
      <c r="H171" s="63">
        <f>'Lobby Lounge'!H131+'Fangfei Lounge'!H131+'Royal Court'!H131+'MP Cafe'!H131+'Pingju Zhuhai'!H131+'Room Service'!H131+Banquet!H132+STW!H90+'Main Kitchen'!H90+'F&amp;B Admin'!H90</f>
        <v>183500</v>
      </c>
      <c r="I171" s="63">
        <f>'Lobby Lounge'!I131+'Fangfei Lounge'!I131+'Royal Court'!I131+'MP Cafe'!I131+'Pingju Zhuhai'!I131+'Room Service'!I131+Banquet!I132+STW!I90+'Main Kitchen'!I90+'F&amp;B Admin'!I90</f>
        <v>183500</v>
      </c>
      <c r="J171" s="63">
        <f>'Lobby Lounge'!J131+'Fangfei Lounge'!J131+'Royal Court'!J131+'MP Cafe'!J131+'Pingju Zhuhai'!J131+'Room Service'!J131+Banquet!J132+STW!J90+'Main Kitchen'!J90+'F&amp;B Admin'!J90</f>
        <v>183499.99</v>
      </c>
      <c r="K171" s="63">
        <f>'Lobby Lounge'!K131+'Fangfei Lounge'!K131+'Royal Court'!K131+'MP Cafe'!K131+'Pingju Zhuhai'!K131+'Room Service'!K131+Banquet!K132+STW!K90+'Main Kitchen'!K90+'F&amp;B Admin'!K90</f>
        <v>183500</v>
      </c>
      <c r="L171" s="63">
        <f>'Lobby Lounge'!L131+'Fangfei Lounge'!L131+'Royal Court'!L131+'MP Cafe'!L131+'Pingju Zhuhai'!L131+'Room Service'!L131+Banquet!L132+STW!L90+'Main Kitchen'!L90+'F&amp;B Admin'!L90</f>
        <v>183499.99</v>
      </c>
      <c r="M171" s="63">
        <f>'Lobby Lounge'!M131+'Fangfei Lounge'!M131+'Royal Court'!M131+'MP Cafe'!M131+'Pingju Zhuhai'!M131+'Room Service'!M131+Banquet!M132+STW!M90+'Main Kitchen'!M90+'F&amp;B Admin'!M90</f>
        <v>183500</v>
      </c>
      <c r="N171" s="63">
        <f>'Lobby Lounge'!N131+'Fangfei Lounge'!N131+'Royal Court'!N131+'MP Cafe'!N131+'Pingju Zhuhai'!N131+'Room Service'!N131+Banquet!N132+STW!N90+'Main Kitchen'!N90+'F&amp;B Admin'!N90</f>
        <v>183500</v>
      </c>
      <c r="O171" s="63">
        <f>'Lobby Lounge'!O131+'Fangfei Lounge'!O131+'Royal Court'!O131+'MP Cafe'!O131+'Pingju Zhuhai'!O131+'Room Service'!O131+Banquet!O132+STW!O90+'Main Kitchen'!O90+'F&amp;B Admin'!O90</f>
        <v>183500</v>
      </c>
      <c r="P171" s="63">
        <f>'Lobby Lounge'!P131+'Fangfei Lounge'!P131+'Royal Court'!P131+'MP Cafe'!P131+'Pingju Zhuhai'!P131+'Room Service'!P131+Banquet!P132+STW!P90+'Main Kitchen'!P90+'F&amp;B Admin'!P90</f>
        <v>183499.99</v>
      </c>
      <c r="Q171" s="134">
        <f>SUM(E171:P171)</f>
        <v>2201999.9699999997</v>
      </c>
      <c r="R171" s="134">
        <v>0</v>
      </c>
      <c r="S171" s="134">
        <f>Q171/$Q$148</f>
        <v>16.992707257784463</v>
      </c>
      <c r="U171" s="148"/>
      <c r="V171" s="40" t="e">
        <f>-IF(Q171-U171=0,0,(Q171-U171)/U171)</f>
        <v>#DIV/0!</v>
      </c>
    </row>
    <row r="172" spans="1:22" s="77" customFormat="1" ht="25.4" customHeight="1">
      <c r="A172" s="50" t="s">
        <v>300</v>
      </c>
      <c r="B172" s="171" t="s">
        <v>433</v>
      </c>
      <c r="C172" s="3"/>
      <c r="D172" s="3" t="s">
        <v>434</v>
      </c>
      <c r="E172" s="63">
        <f>'Lobby Lounge'!E132+'Fangfei Lounge'!E132+'Royal Court'!E132+'MP Cafe'!E132+'Pingju Zhuhai'!E132+'Room Service'!E132+Banquet!E133+STW!E91+'Main Kitchen'!E91+'F&amp;B Admin'!E91</f>
        <v>308300</v>
      </c>
      <c r="F172" s="63">
        <f>'Lobby Lounge'!F132+'Fangfei Lounge'!F132+'Royal Court'!F132+'MP Cafe'!F132+'Pingju Zhuhai'!F132+'Room Service'!F132+Banquet!F133+STW!F91+'Main Kitchen'!F91+'F&amp;B Admin'!F91</f>
        <v>308300</v>
      </c>
      <c r="G172" s="63">
        <f>'Lobby Lounge'!G132+'Fangfei Lounge'!G132+'Royal Court'!G132+'MP Cafe'!G132+'Pingju Zhuhai'!G132+'Room Service'!G132+Banquet!G133+STW!G91+'Main Kitchen'!G91+'F&amp;B Admin'!G91</f>
        <v>308300</v>
      </c>
      <c r="H172" s="63">
        <f>'Lobby Lounge'!H132+'Fangfei Lounge'!H132+'Royal Court'!H132+'MP Cafe'!H132+'Pingju Zhuhai'!H132+'Room Service'!H132+Banquet!H133+STW!H91+'Main Kitchen'!H91+'F&amp;B Admin'!H91</f>
        <v>308300</v>
      </c>
      <c r="I172" s="63">
        <f>'Lobby Lounge'!I132+'Fangfei Lounge'!I132+'Royal Court'!I132+'MP Cafe'!I132+'Pingju Zhuhai'!I132+'Room Service'!I132+Banquet!I133+STW!I91+'Main Kitchen'!I91+'F&amp;B Admin'!I91</f>
        <v>349300</v>
      </c>
      <c r="J172" s="63">
        <f>'Lobby Lounge'!J132+'Fangfei Lounge'!J132+'Royal Court'!J132+'MP Cafe'!J132+'Pingju Zhuhai'!J132+'Room Service'!J132+Banquet!J133+STW!J91+'Main Kitchen'!J91+'F&amp;B Admin'!J91</f>
        <v>349300</v>
      </c>
      <c r="K172" s="63">
        <f>'Lobby Lounge'!K132+'Fangfei Lounge'!K132+'Royal Court'!K132+'MP Cafe'!K132+'Pingju Zhuhai'!K132+'Room Service'!K132+Banquet!K133+STW!K91+'Main Kitchen'!K91+'F&amp;B Admin'!K91</f>
        <v>349300</v>
      </c>
      <c r="L172" s="63">
        <f>'Lobby Lounge'!L132+'Fangfei Lounge'!L132+'Royal Court'!L132+'MP Cafe'!L132+'Pingju Zhuhai'!L132+'Room Service'!L132+Banquet!L133+STW!L91+'Main Kitchen'!L91+'F&amp;B Admin'!L91</f>
        <v>349300.01</v>
      </c>
      <c r="M172" s="63">
        <f>'Lobby Lounge'!M132+'Fangfei Lounge'!M132+'Royal Court'!M132+'MP Cafe'!M132+'Pingju Zhuhai'!M132+'Room Service'!M132+Banquet!M133+STW!M91+'Main Kitchen'!M91+'F&amp;B Admin'!M91</f>
        <v>359300</v>
      </c>
      <c r="N172" s="63">
        <f>'Lobby Lounge'!N132+'Fangfei Lounge'!N132+'Royal Court'!N132+'MP Cafe'!N132+'Pingju Zhuhai'!N132+'Room Service'!N132+Banquet!N133+STW!N91+'Main Kitchen'!N91+'F&amp;B Admin'!N91</f>
        <v>359300</v>
      </c>
      <c r="O172" s="63">
        <f>'Lobby Lounge'!O132+'Fangfei Lounge'!O132+'Royal Court'!O132+'MP Cafe'!O132+'Pingju Zhuhai'!O132+'Room Service'!O132+Banquet!O133+STW!O91+'Main Kitchen'!O91+'F&amp;B Admin'!O91</f>
        <v>367300.01</v>
      </c>
      <c r="P172" s="63">
        <f>'Lobby Lounge'!P132+'Fangfei Lounge'!P132+'Royal Court'!P132+'MP Cafe'!P132+'Pingju Zhuhai'!P132+'Room Service'!P132+Banquet!P133+STW!P91+'Main Kitchen'!P91+'F&amp;B Admin'!P91</f>
        <v>371800.01</v>
      </c>
      <c r="Q172" s="134">
        <f>SUM(E172:P172)</f>
        <v>4088100.0299999993</v>
      </c>
      <c r="R172" s="134">
        <v>1903735.58</v>
      </c>
      <c r="S172" s="134">
        <f>Q172/$Q$148</f>
        <v>31.547633059381869</v>
      </c>
      <c r="U172" s="148"/>
      <c r="V172" s="40" t="e">
        <f t="shared" ref="V172:V193" si="38">-IF(Q172-U172=0,0,(Q172-U172)/U172)</f>
        <v>#DIV/0!</v>
      </c>
    </row>
    <row r="173" spans="1:22" s="77" customFormat="1" ht="25.4" customHeight="1">
      <c r="A173" s="50" t="s">
        <v>300</v>
      </c>
      <c r="B173" s="171" t="s">
        <v>435</v>
      </c>
      <c r="C173" s="3"/>
      <c r="D173" s="3" t="s">
        <v>436</v>
      </c>
      <c r="E173" s="63">
        <f>'Lobby Lounge'!E133+'Fangfei Lounge'!E133+'Royal Court'!E133+'MP Cafe'!E133+'Pingju Zhuhai'!E133+'Room Service'!E133+Banquet!E134</f>
        <v>223450</v>
      </c>
      <c r="F173" s="63">
        <f>'Lobby Lounge'!F133+'Fangfei Lounge'!F133+'Royal Court'!F133+'MP Cafe'!F133+'Pingju Zhuhai'!F133+'Room Service'!F133+Banquet!F134</f>
        <v>223450</v>
      </c>
      <c r="G173" s="63">
        <f>'Lobby Lounge'!G133+'Fangfei Lounge'!G133+'Royal Court'!G133+'MP Cafe'!G133+'Pingju Zhuhai'!G133+'Room Service'!G133+Banquet!G134</f>
        <v>227950</v>
      </c>
      <c r="H173" s="63">
        <f>'Lobby Lounge'!H133+'Fangfei Lounge'!H133+'Royal Court'!H133+'MP Cafe'!H133+'Pingju Zhuhai'!H133+'Room Service'!H133+Banquet!H134</f>
        <v>227950</v>
      </c>
      <c r="I173" s="63">
        <f>'Lobby Lounge'!I133+'Fangfei Lounge'!I133+'Royal Court'!I133+'MP Cafe'!I133+'Pingju Zhuhai'!I133+'Room Service'!I133+Banquet!I134</f>
        <v>227950</v>
      </c>
      <c r="J173" s="63">
        <f>'Lobby Lounge'!J133+'Fangfei Lounge'!J133+'Royal Court'!J133+'MP Cafe'!J133+'Pingju Zhuhai'!J133+'Room Service'!J133+Banquet!J134</f>
        <v>250050</v>
      </c>
      <c r="K173" s="63">
        <f>'Lobby Lounge'!K133+'Fangfei Lounge'!K133+'Royal Court'!K133+'MP Cafe'!K133+'Pingju Zhuhai'!K133+'Room Service'!K133+Banquet!K134</f>
        <v>271750</v>
      </c>
      <c r="L173" s="63">
        <f>'Lobby Lounge'!L133+'Fangfei Lounge'!L133+'Royal Court'!L133+'MP Cafe'!L133+'Pingju Zhuhai'!L133+'Room Service'!L133+Banquet!L134</f>
        <v>271750</v>
      </c>
      <c r="M173" s="63">
        <f>'Lobby Lounge'!M133+'Fangfei Lounge'!M133+'Royal Court'!M133+'MP Cafe'!M133+'Pingju Zhuhai'!M133+'Room Service'!M133+Banquet!M134</f>
        <v>271750</v>
      </c>
      <c r="N173" s="63">
        <f>'Lobby Lounge'!N133+'Fangfei Lounge'!N133+'Royal Court'!N133+'MP Cafe'!N133+'Pingju Zhuhai'!N133+'Room Service'!N133+Banquet!N134</f>
        <v>283250</v>
      </c>
      <c r="O173" s="63">
        <f>'Lobby Lounge'!O133+'Fangfei Lounge'!O133+'Royal Court'!O133+'MP Cafe'!O133+'Pingju Zhuhai'!O133+'Room Service'!O133+Banquet!O134</f>
        <v>283250</v>
      </c>
      <c r="P173" s="63">
        <f>'Lobby Lounge'!P133+'Fangfei Lounge'!P133+'Royal Court'!P133+'MP Cafe'!P133+'Pingju Zhuhai'!P133+'Room Service'!P133+Banquet!P134</f>
        <v>283250</v>
      </c>
      <c r="Q173" s="134">
        <f>SUM(E173:P173)</f>
        <v>3045800</v>
      </c>
      <c r="R173" s="134">
        <v>3753095.09</v>
      </c>
      <c r="S173" s="134">
        <f>Q173/$Q$148</f>
        <v>23.50426361075742</v>
      </c>
      <c r="U173" s="148"/>
      <c r="V173" s="40" t="e">
        <f t="shared" si="38"/>
        <v>#DIV/0!</v>
      </c>
    </row>
    <row r="174" spans="1:22" s="77" customFormat="1" ht="25.4" customHeight="1">
      <c r="A174" s="3"/>
      <c r="B174" s="3"/>
      <c r="C174" s="3"/>
      <c r="D174" s="19" t="s">
        <v>437</v>
      </c>
      <c r="E174" s="151">
        <f>SUM(E171:E173)</f>
        <v>715250</v>
      </c>
      <c r="F174" s="151">
        <f t="shared" ref="F174:P174" si="39">SUM(F171:F173)</f>
        <v>715250</v>
      </c>
      <c r="G174" s="151">
        <f t="shared" si="39"/>
        <v>719750</v>
      </c>
      <c r="H174" s="151">
        <f t="shared" si="39"/>
        <v>719750</v>
      </c>
      <c r="I174" s="151">
        <f t="shared" si="39"/>
        <v>760750</v>
      </c>
      <c r="J174" s="151">
        <f t="shared" si="39"/>
        <v>782849.99</v>
      </c>
      <c r="K174" s="151">
        <f t="shared" si="39"/>
        <v>804550</v>
      </c>
      <c r="L174" s="151">
        <f t="shared" si="39"/>
        <v>804550</v>
      </c>
      <c r="M174" s="151">
        <f t="shared" si="39"/>
        <v>814550</v>
      </c>
      <c r="N174" s="151">
        <f t="shared" si="39"/>
        <v>826050</v>
      </c>
      <c r="O174" s="151">
        <f t="shared" si="39"/>
        <v>834050.01</v>
      </c>
      <c r="P174" s="151">
        <f t="shared" si="39"/>
        <v>838550</v>
      </c>
      <c r="Q174" s="151">
        <f>SUM(Q171:Q173)</f>
        <v>9335900</v>
      </c>
      <c r="R174" s="151">
        <v>5656830.6699999999</v>
      </c>
      <c r="S174" s="134">
        <f>Q174/$Q$148</f>
        <v>72.04460392792376</v>
      </c>
      <c r="U174" s="148"/>
      <c r="V174" s="40" t="e">
        <f t="shared" si="38"/>
        <v>#DIV/0!</v>
      </c>
    </row>
    <row r="175" spans="1:22" s="77" customFormat="1" ht="25.4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U175" s="148"/>
      <c r="V175" s="40"/>
    </row>
    <row r="176" spans="1:22" s="77" customFormat="1" ht="25.4" customHeight="1">
      <c r="A176" s="3" t="s">
        <v>308</v>
      </c>
      <c r="B176" s="3" t="s">
        <v>403</v>
      </c>
      <c r="C176" s="3"/>
      <c r="D176" s="26" t="s">
        <v>309</v>
      </c>
      <c r="E176" s="63">
        <f>'Lobby Lounge'!E136+'Fangfei Lounge'!E136+'Royal Court'!E136+'MP Cafe'!E136+'Pingju Zhuhai'!E136+'Room Service'!E136+Banquet!E137+STW!E94+'Main Kitchen'!E94+'F&amp;B Admin'!E94</f>
        <v>146689.75999999998</v>
      </c>
      <c r="F176" s="63">
        <f>'Lobby Lounge'!F136+'Fangfei Lounge'!F136+'Royal Court'!F136+'MP Cafe'!F136+'Pingju Zhuhai'!F136+'Room Service'!F136+Banquet!F137+STW!F94+'Main Kitchen'!F94+'F&amp;B Admin'!F94</f>
        <v>0</v>
      </c>
      <c r="G176" s="63">
        <f>'Lobby Lounge'!G136+'Fangfei Lounge'!G136+'Royal Court'!G136+'MP Cafe'!G136+'Pingju Zhuhai'!G136+'Room Service'!G136+Banquet!G137+STW!G94+'Main Kitchen'!G94+'F&amp;B Admin'!G94</f>
        <v>0</v>
      </c>
      <c r="H176" s="63">
        <f>'Lobby Lounge'!H136+'Fangfei Lounge'!H136+'Royal Court'!H136+'MP Cafe'!H136+'Pingju Zhuhai'!H136+'Room Service'!H136+Banquet!H137+STW!H94+'Main Kitchen'!H94+'F&amp;B Admin'!H94</f>
        <v>44379.280000000006</v>
      </c>
      <c r="I176" s="63">
        <f>'Lobby Lounge'!I136+'Fangfei Lounge'!I136+'Royal Court'!I136+'MP Cafe'!I136+'Pingju Zhuhai'!I136+'Room Service'!I136+Banquet!I137+STW!I94+'Main Kitchen'!I94+'F&amp;B Admin'!I94</f>
        <v>79620.60000000002</v>
      </c>
      <c r="J176" s="63">
        <f>'Lobby Lounge'!J136+'Fangfei Lounge'!J136+'Royal Court'!J136+'MP Cafe'!J136+'Pingju Zhuhai'!J136+'Room Service'!J136+Banquet!J137+STW!J94+'Main Kitchen'!J94+'F&amp;B Admin'!J94</f>
        <v>0</v>
      </c>
      <c r="K176" s="63">
        <f>'Lobby Lounge'!K136+'Fangfei Lounge'!K136+'Royal Court'!K136+'MP Cafe'!K136+'Pingju Zhuhai'!K136+'Room Service'!K136+Banquet!K137+STW!K94+'Main Kitchen'!K94+'F&amp;B Admin'!K94</f>
        <v>0</v>
      </c>
      <c r="L176" s="63">
        <f>'Lobby Lounge'!L136+'Fangfei Lounge'!L136+'Royal Court'!L136+'MP Cafe'!L136+'Pingju Zhuhai'!L136+'Room Service'!L136+Banquet!L137+STW!L94+'Main Kitchen'!L94+'F&amp;B Admin'!L94</f>
        <v>0</v>
      </c>
      <c r="M176" s="63">
        <f>'Lobby Lounge'!M136+'Fangfei Lounge'!M136+'Royal Court'!M136+'MP Cafe'!M136+'Pingju Zhuhai'!M136+'Room Service'!M136+Banquet!M137+STW!M94+'Main Kitchen'!M94+'F&amp;B Admin'!M94</f>
        <v>0</v>
      </c>
      <c r="N176" s="63">
        <f>'Lobby Lounge'!N136+'Fangfei Lounge'!N136+'Royal Court'!N136+'MP Cafe'!N136+'Pingju Zhuhai'!N136+'Room Service'!N136+Banquet!N137+STW!N94+'Main Kitchen'!N94+'F&amp;B Admin'!N94</f>
        <v>177255.28999999998</v>
      </c>
      <c r="O176" s="63">
        <f>'Lobby Lounge'!O136+'Fangfei Lounge'!O136+'Royal Court'!O136+'MP Cafe'!O136+'Pingju Zhuhai'!O136+'Room Service'!O136+Banquet!O137+STW!O94+'Main Kitchen'!O94+'F&amp;B Admin'!O94</f>
        <v>0</v>
      </c>
      <c r="P176" s="63">
        <f>'Lobby Lounge'!P136+'Fangfei Lounge'!P136+'Royal Court'!P136+'MP Cafe'!P136+'Pingju Zhuhai'!P136+'Room Service'!P136+Banquet!P137+STW!P94+'Main Kitchen'!P94+'F&amp;B Admin'!P94</f>
        <v>0</v>
      </c>
      <c r="Q176" s="134">
        <f>SUM(E176:P176)</f>
        <v>447944.93</v>
      </c>
      <c r="R176" s="134">
        <v>323821.08</v>
      </c>
      <c r="S176" s="134">
        <f t="shared" ref="S176:S183" si="40">Q176/$Q$148</f>
        <v>3.4567652891924219</v>
      </c>
      <c r="U176" s="148"/>
      <c r="V176" s="40" t="e">
        <f t="shared" si="38"/>
        <v>#DIV/0!</v>
      </c>
    </row>
    <row r="177" spans="1:22" s="77" customFormat="1" ht="25.4" customHeight="1">
      <c r="A177" s="3" t="s">
        <v>310</v>
      </c>
      <c r="B177" s="3" t="s">
        <v>403</v>
      </c>
      <c r="C177" s="3"/>
      <c r="D177" s="26" t="s">
        <v>311</v>
      </c>
      <c r="E177" s="63">
        <f>'Lobby Lounge'!E137+'Fangfei Lounge'!E137+'Royal Court'!E137+'MP Cafe'!E137+'Pingju Zhuhai'!E137+'Room Service'!E137+Banquet!E138+STW!E95+'Main Kitchen'!E95+'F&amp;B Admin'!E95</f>
        <v>8940.630000000001</v>
      </c>
      <c r="F177" s="63">
        <f>'Lobby Lounge'!F137+'Fangfei Lounge'!F137+'Royal Court'!F137+'MP Cafe'!F137+'Pingju Zhuhai'!F137+'Room Service'!F137+Banquet!F138+STW!F95+'Main Kitchen'!F95+'F&amp;B Admin'!F95</f>
        <v>8940.630000000001</v>
      </c>
      <c r="G177" s="63">
        <f>'Lobby Lounge'!G137+'Fangfei Lounge'!G137+'Royal Court'!G137+'MP Cafe'!G137+'Pingju Zhuhai'!G137+'Room Service'!G137+Banquet!G138+STW!G95+'Main Kitchen'!G95+'F&amp;B Admin'!G95</f>
        <v>8996.8799999999992</v>
      </c>
      <c r="H177" s="63">
        <f>'Lobby Lounge'!H137+'Fangfei Lounge'!H137+'Royal Court'!H137+'MP Cafe'!H137+'Pingju Zhuhai'!H137+'Room Service'!H137+Banquet!H138+STW!H95+'Main Kitchen'!H95+'F&amp;B Admin'!H95</f>
        <v>8996.869999999999</v>
      </c>
      <c r="I177" s="63">
        <f>'Lobby Lounge'!I137+'Fangfei Lounge'!I137+'Royal Court'!I137+'MP Cafe'!I137+'Pingju Zhuhai'!I137+'Room Service'!I137+Banquet!I138+STW!I95+'Main Kitchen'!I95+'F&amp;B Admin'!I95</f>
        <v>9509.39</v>
      </c>
      <c r="J177" s="63">
        <f>'Lobby Lounge'!J137+'Fangfei Lounge'!J137+'Royal Court'!J137+'MP Cafe'!J137+'Pingju Zhuhai'!J137+'Room Service'!J137+Banquet!J138+STW!J95+'Main Kitchen'!J95+'F&amp;B Admin'!J95</f>
        <v>9785.630000000001</v>
      </c>
      <c r="K177" s="63">
        <f>'Lobby Lounge'!K137+'Fangfei Lounge'!K137+'Royal Court'!K137+'MP Cafe'!K137+'Pingju Zhuhai'!K137+'Room Service'!K137+Banquet!K138+STW!K95+'Main Kitchen'!K95+'F&amp;B Admin'!K95</f>
        <v>10056.879999999999</v>
      </c>
      <c r="L177" s="63">
        <f>'Lobby Lounge'!L137+'Fangfei Lounge'!L137+'Royal Court'!L137+'MP Cafe'!L137+'Pingju Zhuhai'!L137+'Room Service'!L137+Banquet!L138+STW!L95+'Main Kitchen'!L95+'F&amp;B Admin'!L95</f>
        <v>10056.869999999999</v>
      </c>
      <c r="M177" s="63">
        <f>'Lobby Lounge'!M137+'Fangfei Lounge'!M137+'Royal Court'!M137+'MP Cafe'!M137+'Pingju Zhuhai'!M137+'Room Service'!M137+Banquet!M138+STW!M95+'Main Kitchen'!M95+'F&amp;B Admin'!M95</f>
        <v>10181.870000000001</v>
      </c>
      <c r="N177" s="63">
        <f>'Lobby Lounge'!N137+'Fangfei Lounge'!N137+'Royal Court'!N137+'MP Cafe'!N137+'Pingju Zhuhai'!N137+'Room Service'!N137+Banquet!N138+STW!N95+'Main Kitchen'!N95+'F&amp;B Admin'!N95</f>
        <v>10325.629999999999</v>
      </c>
      <c r="O177" s="63">
        <f>'Lobby Lounge'!O137+'Fangfei Lounge'!O137+'Royal Court'!O137+'MP Cafe'!O137+'Pingju Zhuhai'!O137+'Room Service'!O137+Banquet!O138+STW!O95+'Main Kitchen'!O95+'F&amp;B Admin'!O95</f>
        <v>10425.630000000001</v>
      </c>
      <c r="P177" s="63">
        <f>'Lobby Lounge'!P137+'Fangfei Lounge'!P137+'Royal Court'!P137+'MP Cafe'!P137+'Pingju Zhuhai'!P137+'Room Service'!P137+Banquet!P138+STW!P95+'Main Kitchen'!P95+'F&amp;B Admin'!P95</f>
        <v>10481.89</v>
      </c>
      <c r="Q177" s="134">
        <f t="shared" ref="Q177:Q182" si="41">SUM(E177:P177)</f>
        <v>116698.8</v>
      </c>
      <c r="R177" s="134">
        <v>1180735.8700000001</v>
      </c>
      <c r="S177" s="134">
        <f t="shared" si="40"/>
        <v>0.90055793494617431</v>
      </c>
      <c r="U177" s="148"/>
      <c r="V177" s="40" t="e">
        <f t="shared" si="38"/>
        <v>#DIV/0!</v>
      </c>
    </row>
    <row r="178" spans="1:22" s="77" customFormat="1" ht="25.4" customHeight="1">
      <c r="A178" s="3" t="s">
        <v>312</v>
      </c>
      <c r="B178" s="3" t="s">
        <v>403</v>
      </c>
      <c r="C178" s="3"/>
      <c r="D178" s="26" t="s">
        <v>313</v>
      </c>
      <c r="E178" s="63">
        <f>'Lobby Lounge'!E138+'Fangfei Lounge'!E138+'Royal Court'!E138+'MP Cafe'!E138+'Pingju Zhuhai'!E138+'Room Service'!E138+Banquet!E139+STW!E96+'Main Kitchen'!E96+'F&amp;B Admin'!E96</f>
        <v>0</v>
      </c>
      <c r="F178" s="63">
        <f>'Lobby Lounge'!F138+'Fangfei Lounge'!F138+'Royal Court'!F138+'MP Cafe'!F138+'Pingju Zhuhai'!F138+'Room Service'!F138+Banquet!F139+STW!F96+'Main Kitchen'!F96+'F&amp;B Admin'!F96</f>
        <v>0</v>
      </c>
      <c r="G178" s="63">
        <f>'Lobby Lounge'!G138+'Fangfei Lounge'!G138+'Royal Court'!G138+'MP Cafe'!G138+'Pingju Zhuhai'!G138+'Room Service'!G138+Banquet!G139+STW!G96+'Main Kitchen'!G96+'F&amp;B Admin'!G96</f>
        <v>0</v>
      </c>
      <c r="H178" s="63">
        <f>'Lobby Lounge'!H138+'Fangfei Lounge'!H138+'Royal Court'!H138+'MP Cafe'!H138+'Pingju Zhuhai'!H138+'Room Service'!H138+Banquet!H139+STW!H96+'Main Kitchen'!H96+'F&amp;B Admin'!H96</f>
        <v>0</v>
      </c>
      <c r="I178" s="63">
        <f>'Lobby Lounge'!I138+'Fangfei Lounge'!I138+'Royal Court'!I138+'MP Cafe'!I138+'Pingju Zhuhai'!I138+'Room Service'!I138+Banquet!I139+STW!I96+'Main Kitchen'!I96+'F&amp;B Admin'!I96</f>
        <v>0</v>
      </c>
      <c r="J178" s="63">
        <f>'Lobby Lounge'!J138+'Fangfei Lounge'!J138+'Royal Court'!J138+'MP Cafe'!J138+'Pingju Zhuhai'!J138+'Room Service'!J138+Banquet!J139+STW!J96+'Main Kitchen'!J96+'F&amp;B Admin'!J96</f>
        <v>0</v>
      </c>
      <c r="K178" s="63">
        <f>'Lobby Lounge'!K138+'Fangfei Lounge'!K138+'Royal Court'!K138+'MP Cafe'!K138+'Pingju Zhuhai'!K138+'Room Service'!K138+Banquet!K139+STW!K96+'Main Kitchen'!K96+'F&amp;B Admin'!K96</f>
        <v>0</v>
      </c>
      <c r="L178" s="63">
        <f>'Lobby Lounge'!L138+'Fangfei Lounge'!L138+'Royal Court'!L138+'MP Cafe'!L138+'Pingju Zhuhai'!L138+'Room Service'!L138+Banquet!L139+STW!L96+'Main Kitchen'!L96+'F&amp;B Admin'!L96</f>
        <v>0</v>
      </c>
      <c r="M178" s="63">
        <f>'Lobby Lounge'!M138+'Fangfei Lounge'!M138+'Royal Court'!M138+'MP Cafe'!M138+'Pingju Zhuhai'!M138+'Room Service'!M138+Banquet!M139+STW!M96+'Main Kitchen'!M96+'F&amp;B Admin'!M96</f>
        <v>0</v>
      </c>
      <c r="N178" s="63">
        <f>'Lobby Lounge'!N138+'Fangfei Lounge'!N138+'Royal Court'!N138+'MP Cafe'!N138+'Pingju Zhuhai'!N138+'Room Service'!N138+Banquet!N139+STW!N96+'Main Kitchen'!N96+'F&amp;B Admin'!N96</f>
        <v>0</v>
      </c>
      <c r="O178" s="63">
        <f>'Lobby Lounge'!O138+'Fangfei Lounge'!O138+'Royal Court'!O138+'MP Cafe'!O138+'Pingju Zhuhai'!O138+'Room Service'!O138+Banquet!O139+STW!O96+'Main Kitchen'!O96+'F&amp;B Admin'!O96</f>
        <v>0</v>
      </c>
      <c r="P178" s="63">
        <f>'Lobby Lounge'!P138+'Fangfei Lounge'!P138+'Royal Court'!P138+'MP Cafe'!P138+'Pingju Zhuhai'!P138+'Room Service'!P138+Banquet!P139+STW!P96+'Main Kitchen'!P96+'F&amp;B Admin'!P96</f>
        <v>0</v>
      </c>
      <c r="Q178" s="134">
        <f t="shared" si="41"/>
        <v>0</v>
      </c>
      <c r="R178" s="134">
        <v>81860</v>
      </c>
      <c r="S178" s="134">
        <f t="shared" si="40"/>
        <v>0</v>
      </c>
      <c r="U178" s="148"/>
      <c r="V178" s="40">
        <f t="shared" si="38"/>
        <v>0</v>
      </c>
    </row>
    <row r="179" spans="1:22" s="77" customFormat="1" ht="24.75" customHeight="1">
      <c r="A179" s="3" t="s">
        <v>314</v>
      </c>
      <c r="B179" s="3" t="s">
        <v>403</v>
      </c>
      <c r="C179" s="3"/>
      <c r="D179" s="26" t="s">
        <v>315</v>
      </c>
      <c r="E179" s="63">
        <f>'Lobby Lounge'!E139+'Fangfei Lounge'!E139+'Royal Court'!E139+'MP Cafe'!E139+'Pingju Zhuhai'!E139+'Room Service'!E139+Banquet!E140+STW!E97+'Main Kitchen'!E97+'F&amp;B Admin'!E97</f>
        <v>0</v>
      </c>
      <c r="F179" s="63">
        <f>'Lobby Lounge'!F139+'Fangfei Lounge'!F139+'Royal Court'!F139+'MP Cafe'!F139+'Pingju Zhuhai'!F139+'Room Service'!F139+Banquet!F140+STW!F97+'Main Kitchen'!F97+'F&amp;B Admin'!F97</f>
        <v>0</v>
      </c>
      <c r="G179" s="63">
        <f>'Lobby Lounge'!G139+'Fangfei Lounge'!G139+'Royal Court'!G139+'MP Cafe'!G139+'Pingju Zhuhai'!G139+'Room Service'!G139+Banquet!G140+STW!G97+'Main Kitchen'!G97+'F&amp;B Admin'!G97</f>
        <v>0</v>
      </c>
      <c r="H179" s="63">
        <f>'Lobby Lounge'!H139+'Fangfei Lounge'!H139+'Royal Court'!H139+'MP Cafe'!H139+'Pingju Zhuhai'!H139+'Room Service'!H139+Banquet!H140+STW!H97+'Main Kitchen'!H97+'F&amp;B Admin'!H97</f>
        <v>0</v>
      </c>
      <c r="I179" s="63">
        <f>'Lobby Lounge'!I139+'Fangfei Lounge'!I139+'Royal Court'!I139+'MP Cafe'!I139+'Pingju Zhuhai'!I139+'Room Service'!I139+Banquet!I140+STW!I97+'Main Kitchen'!I97+'F&amp;B Admin'!I97</f>
        <v>0</v>
      </c>
      <c r="J179" s="63">
        <f>'Lobby Lounge'!J139+'Fangfei Lounge'!J139+'Royal Court'!J139+'MP Cafe'!J139+'Pingju Zhuhai'!J139+'Room Service'!J139+Banquet!J140+STW!J97+'Main Kitchen'!J97+'F&amp;B Admin'!J97</f>
        <v>0</v>
      </c>
      <c r="K179" s="63">
        <f>'Lobby Lounge'!K139+'Fangfei Lounge'!K139+'Royal Court'!K139+'MP Cafe'!K139+'Pingju Zhuhai'!K139+'Room Service'!K139+Banquet!K140+STW!K97+'Main Kitchen'!K97+'F&amp;B Admin'!K97</f>
        <v>0</v>
      </c>
      <c r="L179" s="63">
        <f>'Lobby Lounge'!L139+'Fangfei Lounge'!L139+'Royal Court'!L139+'MP Cafe'!L139+'Pingju Zhuhai'!L139+'Room Service'!L139+Banquet!L140+STW!L97+'Main Kitchen'!L97+'F&amp;B Admin'!L97</f>
        <v>0</v>
      </c>
      <c r="M179" s="63">
        <f>'Lobby Lounge'!M139+'Fangfei Lounge'!M139+'Royal Court'!M139+'MP Cafe'!M139+'Pingju Zhuhai'!M139+'Room Service'!M139+Banquet!M140+STW!M97+'Main Kitchen'!M97+'F&amp;B Admin'!M97</f>
        <v>0</v>
      </c>
      <c r="N179" s="63">
        <f>'Lobby Lounge'!N139+'Fangfei Lounge'!N139+'Royal Court'!N139+'MP Cafe'!N139+'Pingju Zhuhai'!N139+'Room Service'!N139+Banquet!N140+STW!N97+'Main Kitchen'!N97+'F&amp;B Admin'!N97</f>
        <v>0</v>
      </c>
      <c r="O179" s="63">
        <f>'Lobby Lounge'!O139+'Fangfei Lounge'!O139+'Royal Court'!O139+'MP Cafe'!O139+'Pingju Zhuhai'!O139+'Room Service'!O139+Banquet!O140+STW!O97+'Main Kitchen'!O97+'F&amp;B Admin'!O97</f>
        <v>0</v>
      </c>
      <c r="P179" s="63">
        <f>'Lobby Lounge'!P139+'Fangfei Lounge'!P139+'Royal Court'!P139+'MP Cafe'!P139+'Pingju Zhuhai'!P139+'Room Service'!P139+Banquet!P140+STW!P97+'Main Kitchen'!P97+'F&amp;B Admin'!P97</f>
        <v>0</v>
      </c>
      <c r="Q179" s="134">
        <f t="shared" ref="Q179:Q180" si="42">SUM(E179:P179)</f>
        <v>0</v>
      </c>
      <c r="R179" s="134">
        <v>124300</v>
      </c>
      <c r="S179" s="134">
        <f t="shared" ref="S179:S180" si="43">Q179/$Q$148</f>
        <v>0</v>
      </c>
      <c r="U179" s="148"/>
      <c r="V179" s="40"/>
    </row>
    <row r="180" spans="1:22" s="77" customFormat="1" ht="25.4" customHeight="1">
      <c r="A180" s="3" t="s">
        <v>316</v>
      </c>
      <c r="B180" s="3" t="s">
        <v>403</v>
      </c>
      <c r="C180" s="3"/>
      <c r="D180" s="26" t="s">
        <v>317</v>
      </c>
      <c r="E180" s="63">
        <f>'Lobby Lounge'!E140+'Fangfei Lounge'!E140+'Royal Court'!E140+'MP Cafe'!E140+'Pingju Zhuhai'!E140+'Room Service'!E140+Banquet!E141+STW!E98+'Main Kitchen'!E98+'F&amp;B Admin'!E98</f>
        <v>0</v>
      </c>
      <c r="F180" s="63">
        <f>'Lobby Lounge'!F140+'Fangfei Lounge'!F140+'Royal Court'!F140+'MP Cafe'!F140+'Pingju Zhuhai'!F140+'Room Service'!F140+Banquet!F141+STW!F98+'Main Kitchen'!F98+'F&amp;B Admin'!F98</f>
        <v>0</v>
      </c>
      <c r="G180" s="63">
        <f>'Lobby Lounge'!G140+'Fangfei Lounge'!G140+'Royal Court'!G140+'MP Cafe'!G140+'Pingju Zhuhai'!G140+'Room Service'!G140+Banquet!G141+STW!G98+'Main Kitchen'!G98+'F&amp;B Admin'!G98</f>
        <v>0</v>
      </c>
      <c r="H180" s="63">
        <f>'Lobby Lounge'!H140+'Fangfei Lounge'!H140+'Royal Court'!H140+'MP Cafe'!H140+'Pingju Zhuhai'!H140+'Room Service'!H140+Banquet!H141+STW!H98+'Main Kitchen'!H98+'F&amp;B Admin'!H98</f>
        <v>0</v>
      </c>
      <c r="I180" s="63">
        <f>'Lobby Lounge'!I140+'Fangfei Lounge'!I140+'Royal Court'!I140+'MP Cafe'!I140+'Pingju Zhuhai'!I140+'Room Service'!I140+Banquet!I141+STW!I98+'Main Kitchen'!I98+'F&amp;B Admin'!I98</f>
        <v>0</v>
      </c>
      <c r="J180" s="63">
        <f>'Lobby Lounge'!J140+'Fangfei Lounge'!J140+'Royal Court'!J140+'MP Cafe'!J140+'Pingju Zhuhai'!J140+'Room Service'!J140+Banquet!J141+STW!J98+'Main Kitchen'!J98+'F&amp;B Admin'!J98</f>
        <v>0</v>
      </c>
      <c r="K180" s="63">
        <f>'Lobby Lounge'!K140+'Fangfei Lounge'!K140+'Royal Court'!K140+'MP Cafe'!K140+'Pingju Zhuhai'!K140+'Room Service'!K140+Banquet!K141+STW!K98+'Main Kitchen'!K98+'F&amp;B Admin'!K98</f>
        <v>0</v>
      </c>
      <c r="L180" s="63">
        <f>'Lobby Lounge'!L140+'Fangfei Lounge'!L140+'Royal Court'!L140+'MP Cafe'!L140+'Pingju Zhuhai'!L140+'Room Service'!L140+Banquet!L141+STW!L98+'Main Kitchen'!L98+'F&amp;B Admin'!L98</f>
        <v>0</v>
      </c>
      <c r="M180" s="63">
        <f>'Lobby Lounge'!M140+'Fangfei Lounge'!M140+'Royal Court'!M140+'MP Cafe'!M140+'Pingju Zhuhai'!M140+'Room Service'!M140+Banquet!M141+STW!M98+'Main Kitchen'!M98+'F&amp;B Admin'!M98</f>
        <v>0</v>
      </c>
      <c r="N180" s="63">
        <f>'Lobby Lounge'!N140+'Fangfei Lounge'!N140+'Royal Court'!N140+'MP Cafe'!N140+'Pingju Zhuhai'!N140+'Room Service'!N140+Banquet!N141+STW!N98+'Main Kitchen'!N98+'F&amp;B Admin'!N98</f>
        <v>0</v>
      </c>
      <c r="O180" s="63">
        <f>'Lobby Lounge'!O140+'Fangfei Lounge'!O140+'Royal Court'!O140+'MP Cafe'!O140+'Pingju Zhuhai'!O140+'Room Service'!O140+Banquet!O141+STW!O98+'Main Kitchen'!O98+'F&amp;B Admin'!O98</f>
        <v>0</v>
      </c>
      <c r="P180" s="63">
        <f>'Lobby Lounge'!P140+'Fangfei Lounge'!P140+'Royal Court'!P140+'MP Cafe'!P140+'Pingju Zhuhai'!P140+'Room Service'!P140+Banquet!P141+STW!P98+'Main Kitchen'!P98+'F&amp;B Admin'!P98</f>
        <v>0</v>
      </c>
      <c r="Q180" s="134">
        <f t="shared" si="42"/>
        <v>0</v>
      </c>
      <c r="R180" s="134">
        <v>65601.45</v>
      </c>
      <c r="S180" s="134">
        <f t="shared" si="43"/>
        <v>0</v>
      </c>
      <c r="U180" s="148"/>
      <c r="V180" s="40">
        <f t="shared" ref="V180" si="44">-IF(Q180-U180=0,0,(Q180-U180)/U180)</f>
        <v>0</v>
      </c>
    </row>
    <row r="181" spans="1:22" s="77" customFormat="1" ht="24.75" customHeight="1">
      <c r="A181" s="3" t="s">
        <v>1066</v>
      </c>
      <c r="B181" s="3" t="s">
        <v>403</v>
      </c>
      <c r="C181" s="3"/>
      <c r="D181" s="26" t="s">
        <v>1216</v>
      </c>
      <c r="E181" s="63">
        <f>'Fangfei Lounge'!E141+'Royal Court'!E141+'MP Cafe'!E141+'Pingju Zhuhai'!E141+'Lobby Lounge'!E141+Banquet!E142+'Main Kitchen'!E99+'Room Service'!E141+STW!E99</f>
        <v>32766.25</v>
      </c>
      <c r="F181" s="63">
        <f>'Fangfei Lounge'!F141+'Royal Court'!F141+'MP Cafe'!F141+'Pingju Zhuhai'!F141+'Lobby Lounge'!F141+Banquet!F142+'Main Kitchen'!F99+'Room Service'!F141+STW!F99</f>
        <v>6035.89</v>
      </c>
      <c r="G181" s="63">
        <f>'Fangfei Lounge'!G141+'Royal Court'!G141+'MP Cafe'!G141+'Pingju Zhuhai'!G141+'Lobby Lounge'!G141+Banquet!G142+'Main Kitchen'!G99+'Room Service'!G141+STW!G99</f>
        <v>38134.160000000003</v>
      </c>
      <c r="H181" s="63">
        <f>'Fangfei Lounge'!H141+'Royal Court'!H141+'MP Cafe'!H141+'Pingju Zhuhai'!H141+'Lobby Lounge'!H141+Banquet!H142+'Main Kitchen'!H99+'Room Service'!H141+STW!H99</f>
        <v>32134.92</v>
      </c>
      <c r="I181" s="63">
        <f>'Fangfei Lounge'!I141+'Royal Court'!I141+'MP Cafe'!I141+'Pingju Zhuhai'!I141+'Lobby Lounge'!I141+Banquet!I142+'Main Kitchen'!I99+'Room Service'!I141+STW!I99</f>
        <v>44043.16</v>
      </c>
      <c r="J181" s="63">
        <f>'Fangfei Lounge'!J141+'Royal Court'!J141+'MP Cafe'!J141+'Pingju Zhuhai'!J141+'Lobby Lounge'!J141+Banquet!J142+'Main Kitchen'!J99+'Room Service'!J141+STW!J99</f>
        <v>41920.269999999997</v>
      </c>
      <c r="K181" s="63">
        <f>'Fangfei Lounge'!K141+'Royal Court'!K141+'MP Cafe'!K141+'Pingju Zhuhai'!K141+'Lobby Lounge'!K141+Banquet!K142+'Main Kitchen'!K99+'Room Service'!K141+STW!K99</f>
        <v>35883.79</v>
      </c>
      <c r="L181" s="63">
        <f>'Fangfei Lounge'!L141+'Royal Court'!L141+'MP Cafe'!L141+'Pingju Zhuhai'!L141+'Lobby Lounge'!L141+Banquet!L142+'Main Kitchen'!L99+'Room Service'!L141+STW!L99</f>
        <v>26429.69</v>
      </c>
      <c r="M181" s="63">
        <f>'Fangfei Lounge'!M141+'Royal Court'!M141+'MP Cafe'!M141+'Pingju Zhuhai'!M141+'Lobby Lounge'!M141+Banquet!M142+'Main Kitchen'!M99+'Room Service'!M141+STW!M99</f>
        <v>11972.81</v>
      </c>
      <c r="N181" s="63">
        <f>'Fangfei Lounge'!N141+'Royal Court'!N141+'MP Cafe'!N141+'Pingju Zhuhai'!N141+'Lobby Lounge'!N141+Banquet!N142+'Main Kitchen'!N99+'Room Service'!N141+STW!N99</f>
        <v>37212.270000000004</v>
      </c>
      <c r="O181" s="63">
        <f>'Fangfei Lounge'!O141+'Royal Court'!O141+'MP Cafe'!O141+'Pingju Zhuhai'!O141+'Lobby Lounge'!O141+Banquet!O142+'Main Kitchen'!O99+'Room Service'!O141+STW!O99</f>
        <v>68797.34</v>
      </c>
      <c r="P181" s="63">
        <f>'Fangfei Lounge'!P141+'Royal Court'!P141+'MP Cafe'!P141+'Pingju Zhuhai'!P141+'Lobby Lounge'!P141+Banquet!P142+'Main Kitchen'!P99+'Room Service'!P141+STW!P99</f>
        <v>73741.08</v>
      </c>
      <c r="Q181" s="134">
        <f>SUM(E181:P181)</f>
        <v>449071.63000000006</v>
      </c>
      <c r="R181" s="134">
        <v>124300</v>
      </c>
      <c r="S181" s="134">
        <f t="shared" si="40"/>
        <v>3.4654599683605358</v>
      </c>
      <c r="U181" s="148"/>
      <c r="V181" s="40"/>
    </row>
    <row r="182" spans="1:22" s="77" customFormat="1" ht="25.4" customHeight="1">
      <c r="A182" s="3" t="s">
        <v>1066</v>
      </c>
      <c r="B182" s="3" t="s">
        <v>403</v>
      </c>
      <c r="C182" s="3"/>
      <c r="D182" s="26" t="s">
        <v>1070</v>
      </c>
      <c r="E182" s="63">
        <f>'Fangfei Lounge'!E142+'Royal Court'!E142+'MP Cafe'!E142+'Pingju Zhuhai'!E142+'Lobby Lounge'!E142+Banquet!E143+'Main Kitchen'!E100+'Room Service'!E142+STW!E100</f>
        <v>82292.259999999995</v>
      </c>
      <c r="F182" s="63">
        <f>'Fangfei Lounge'!F142+'Royal Court'!F142+'MP Cafe'!F142+'Pingju Zhuhai'!F142+'Lobby Lounge'!F142+Banquet!F143+'Main Kitchen'!F100+'Room Service'!F142+STW!F100</f>
        <v>75830.73</v>
      </c>
      <c r="G182" s="63">
        <f>'Fangfei Lounge'!G142+'Royal Court'!G142+'MP Cafe'!G142+'Pingju Zhuhai'!G142+'Lobby Lounge'!G142+Banquet!G143+'Main Kitchen'!G100+'Room Service'!G142+STW!G100</f>
        <v>90713.040000000008</v>
      </c>
      <c r="H182" s="63">
        <f>'Fangfei Lounge'!H142+'Royal Court'!H142+'MP Cafe'!H142+'Pingju Zhuhai'!H142+'Lobby Lounge'!H142+Banquet!H143+'Main Kitchen'!H100+'Room Service'!H142+STW!H100</f>
        <v>97004.77</v>
      </c>
      <c r="I182" s="63">
        <f>'Fangfei Lounge'!I142+'Royal Court'!I142+'MP Cafe'!I142+'Pingju Zhuhai'!I142+'Lobby Lounge'!I142+Banquet!I143+'Main Kitchen'!I100+'Room Service'!I142+STW!I100</f>
        <v>96692.51</v>
      </c>
      <c r="J182" s="63">
        <f>'Fangfei Lounge'!J142+'Royal Court'!J142+'MP Cafe'!J142+'Pingju Zhuhai'!J142+'Lobby Lounge'!J142+Banquet!J143+'Main Kitchen'!J100+'Room Service'!J142+STW!J100</f>
        <v>90240.540000000008</v>
      </c>
      <c r="K182" s="63">
        <f>'Fangfei Lounge'!K142+'Royal Court'!K142+'MP Cafe'!K142+'Pingju Zhuhai'!K142+'Lobby Lounge'!K142+Banquet!K143+'Main Kitchen'!K100+'Room Service'!K142+STW!K100</f>
        <v>90128.84</v>
      </c>
      <c r="L182" s="63">
        <f>'Fangfei Lounge'!L142+'Royal Court'!L142+'MP Cafe'!L142+'Pingju Zhuhai'!L142+'Lobby Lounge'!L142+Banquet!L143+'Main Kitchen'!L100+'Room Service'!L142+STW!L100</f>
        <v>90153.93</v>
      </c>
      <c r="M182" s="63">
        <f>'Fangfei Lounge'!M142+'Royal Court'!M142+'MP Cafe'!M142+'Pingju Zhuhai'!M142+'Lobby Lounge'!M142+Banquet!M143+'Main Kitchen'!M100+'Room Service'!M142+STW!M100</f>
        <v>90209.66</v>
      </c>
      <c r="N182" s="63">
        <f>'Fangfei Lounge'!N142+'Royal Court'!N142+'MP Cafe'!N142+'Pingju Zhuhai'!N142+'Lobby Lounge'!N142+Banquet!N143+'Main Kitchen'!N100+'Room Service'!N142+STW!N100</f>
        <v>93105.68</v>
      </c>
      <c r="O182" s="63">
        <f>'Fangfei Lounge'!O142+'Royal Court'!O142+'MP Cafe'!O142+'Pingju Zhuhai'!O142+'Lobby Lounge'!O142+Banquet!O143+'Main Kitchen'!O100+'Room Service'!O142+STW!O100</f>
        <v>92923.64</v>
      </c>
      <c r="P182" s="63">
        <f>'Fangfei Lounge'!P142+'Royal Court'!P142+'MP Cafe'!P142+'Pingju Zhuhai'!P142+'Lobby Lounge'!P142+Banquet!P143+'Main Kitchen'!P100+'Room Service'!P142+STW!P100</f>
        <v>93276.35</v>
      </c>
      <c r="Q182" s="134">
        <f t="shared" si="41"/>
        <v>1082571.95</v>
      </c>
      <c r="R182" s="134">
        <v>65601.45</v>
      </c>
      <c r="S182" s="134">
        <f t="shared" si="40"/>
        <v>8.3541455415364432</v>
      </c>
      <c r="U182" s="148"/>
      <c r="V182" s="40" t="e">
        <f t="shared" si="38"/>
        <v>#DIV/0!</v>
      </c>
    </row>
    <row r="183" spans="1:22" s="77" customFormat="1" ht="25.4" customHeight="1">
      <c r="A183" s="3"/>
      <c r="B183" s="3"/>
      <c r="C183" s="3"/>
      <c r="D183" s="19" t="s">
        <v>318</v>
      </c>
      <c r="E183" s="151">
        <f>SUM(E176:E182)</f>
        <v>270688.89999999997</v>
      </c>
      <c r="F183" s="151">
        <f t="shared" ref="F183:Q183" si="45">SUM(F176:F182)</f>
        <v>90807.25</v>
      </c>
      <c r="G183" s="151">
        <f t="shared" si="45"/>
        <v>137844.08000000002</v>
      </c>
      <c r="H183" s="151">
        <f t="shared" si="45"/>
        <v>182515.84000000003</v>
      </c>
      <c r="I183" s="151">
        <f t="shared" si="45"/>
        <v>229865.66000000003</v>
      </c>
      <c r="J183" s="151">
        <f t="shared" si="45"/>
        <v>141946.44</v>
      </c>
      <c r="K183" s="151">
        <f t="shared" si="45"/>
        <v>136069.51</v>
      </c>
      <c r="L183" s="151">
        <f t="shared" si="45"/>
        <v>126640.48999999999</v>
      </c>
      <c r="M183" s="151">
        <f t="shared" si="45"/>
        <v>112364.34</v>
      </c>
      <c r="N183" s="151">
        <f t="shared" si="45"/>
        <v>317898.87</v>
      </c>
      <c r="O183" s="151">
        <f t="shared" si="45"/>
        <v>172146.61</v>
      </c>
      <c r="P183" s="151">
        <f t="shared" si="45"/>
        <v>177499.32</v>
      </c>
      <c r="Q183" s="151">
        <f t="shared" si="45"/>
        <v>2096287.31</v>
      </c>
      <c r="R183" s="151">
        <v>1776318.4</v>
      </c>
      <c r="S183" s="134">
        <f t="shared" si="40"/>
        <v>16.176928734035574</v>
      </c>
      <c r="U183" s="148"/>
      <c r="V183" s="40" t="e">
        <f t="shared" si="38"/>
        <v>#DIV/0!</v>
      </c>
    </row>
    <row r="184" spans="1:22" s="77" customFormat="1" ht="25.4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U184" s="148"/>
      <c r="V184" s="40"/>
    </row>
    <row r="185" spans="1:22" s="77" customFormat="1" ht="25.4" customHeight="1">
      <c r="A185" s="3" t="s">
        <v>319</v>
      </c>
      <c r="B185" s="3" t="s">
        <v>403</v>
      </c>
      <c r="C185" s="3"/>
      <c r="D185" s="26" t="s">
        <v>320</v>
      </c>
      <c r="E185" s="63">
        <f>'Lobby Lounge'!E145+'Fangfei Lounge'!E145+'Royal Court'!E145+'MP Cafe'!E145+'Pingju Zhuhai'!E145+'Room Service'!E145+Banquet!E146+STW!E103+'Main Kitchen'!E104+'F&amp;B Admin'!E102</f>
        <v>96049.5</v>
      </c>
      <c r="F185" s="63">
        <f>'Lobby Lounge'!F145+'Fangfei Lounge'!F145+'Royal Court'!F145+'MP Cafe'!F145+'Pingju Zhuhai'!F145+'Room Service'!F145+Banquet!F146+STW!F103+'Main Kitchen'!F104+'F&amp;B Admin'!F102</f>
        <v>96049.489999999991</v>
      </c>
      <c r="G185" s="63">
        <f>'Lobby Lounge'!G145+'Fangfei Lounge'!G145+'Royal Court'!G145+'MP Cafe'!G145+'Pingju Zhuhai'!G145+'Room Service'!G145+Banquet!G146+STW!G103+'Main Kitchen'!G104+'F&amp;B Admin'!G102</f>
        <v>96731.4</v>
      </c>
      <c r="H185" s="63">
        <f>'Lobby Lounge'!H145+'Fangfei Lounge'!H145+'Royal Court'!H145+'MP Cafe'!H145+'Pingju Zhuhai'!H145+'Room Service'!H145+Banquet!H146+STW!H103+'Main Kitchen'!H104+'F&amp;B Admin'!H102</f>
        <v>96731.4</v>
      </c>
      <c r="I185" s="63">
        <f>'Lobby Lounge'!I145+'Fangfei Lounge'!I145+'Royal Court'!I145+'MP Cafe'!I145+'Pingju Zhuhai'!I145+'Room Service'!I145+Banquet!I146+STW!I103+'Main Kitchen'!I104+'F&amp;B Admin'!I102</f>
        <v>102902.1</v>
      </c>
      <c r="J185" s="63">
        <f>'Lobby Lounge'!J145+'Fangfei Lounge'!J145+'Royal Court'!J145+'MP Cafe'!J145+'Pingju Zhuhai'!J145+'Room Service'!J145+Banquet!J146+STW!J103+'Main Kitchen'!J104+'F&amp;B Admin'!J102</f>
        <v>106380.89</v>
      </c>
      <c r="K185" s="63">
        <f>'Lobby Lounge'!K145+'Fangfei Lounge'!K145+'Royal Court'!K145+'MP Cafe'!K145+'Pingju Zhuhai'!K145+'Room Service'!K145+Banquet!K146+STW!K103+'Main Kitchen'!K104+'F&amp;B Admin'!K102</f>
        <v>109724.7</v>
      </c>
      <c r="L185" s="63">
        <f>'Lobby Lounge'!L145+'Fangfei Lounge'!L145+'Royal Court'!L145+'MP Cafe'!L145+'Pingju Zhuhai'!L145+'Room Service'!L145+Banquet!L146+STW!L103+'Main Kitchen'!L104+'F&amp;B Admin'!L102</f>
        <v>109724.7</v>
      </c>
      <c r="M185" s="63">
        <f>'Lobby Lounge'!M145+'Fangfei Lounge'!M145+'Royal Court'!M145+'MP Cafe'!M145+'Pingju Zhuhai'!M145+'Room Service'!M145+Banquet!M146+STW!M103+'Main Kitchen'!M104+'F&amp;B Admin'!M102</f>
        <v>111231.59999999999</v>
      </c>
      <c r="N185" s="63">
        <f>'Lobby Lounge'!N145+'Fangfei Lounge'!N145+'Royal Court'!N145+'MP Cafe'!N145+'Pingju Zhuhai'!N145+'Room Service'!N145+Banquet!N146+STW!N103+'Main Kitchen'!N104+'F&amp;B Admin'!N102</f>
        <v>112963.5</v>
      </c>
      <c r="O185" s="63">
        <f>'Lobby Lounge'!O145+'Fangfei Lounge'!O145+'Royal Court'!O145+'MP Cafe'!O145+'Pingju Zhuhai'!O145+'Room Service'!O145+Banquet!O146+STW!O103+'Main Kitchen'!O104+'F&amp;B Admin'!O102</f>
        <v>114163.49</v>
      </c>
      <c r="P185" s="63">
        <f>'Lobby Lounge'!P145+'Fangfei Lounge'!P145+'Royal Court'!P145+'MP Cafe'!P145+'Pingju Zhuhai'!P145+'Room Service'!P145+Banquet!P146+STW!P103+'Main Kitchen'!P104+'F&amp;B Admin'!P102</f>
        <v>114845.40000000001</v>
      </c>
      <c r="Q185" s="134">
        <f>SUM(E185:P185)</f>
        <v>1267498.17</v>
      </c>
      <c r="R185" s="134">
        <v>1048807.6299999999</v>
      </c>
      <c r="S185" s="134">
        <f t="shared" ref="S185:S193" si="46">Q185/$Q$148</f>
        <v>9.7812105567774044</v>
      </c>
      <c r="U185" s="148"/>
      <c r="V185" s="40" t="e">
        <f t="shared" si="38"/>
        <v>#DIV/0!</v>
      </c>
    </row>
    <row r="186" spans="1:22" s="77" customFormat="1" ht="25.4" customHeight="1">
      <c r="A186" s="3" t="s">
        <v>321</v>
      </c>
      <c r="B186" s="3" t="s">
        <v>403</v>
      </c>
      <c r="C186" s="3"/>
      <c r="D186" s="26" t="s">
        <v>322</v>
      </c>
      <c r="E186" s="63">
        <f>'Lobby Lounge'!E146+'Fangfei Lounge'!E146+'Royal Court'!E146+'MP Cafe'!E146+'Pingju Zhuhai'!E146+'Room Service'!E146+Banquet!E147+STW!E104+'Main Kitchen'!E105+'F&amp;B Admin'!E103</f>
        <v>37474.319999999992</v>
      </c>
      <c r="F186" s="63">
        <f>'Lobby Lounge'!F146+'Fangfei Lounge'!F146+'Royal Court'!F146+'MP Cafe'!F146+'Pingju Zhuhai'!F146+'Room Service'!F146+Banquet!F147+STW!F104+'Main Kitchen'!F105+'F&amp;B Admin'!F103</f>
        <v>37474.32</v>
      </c>
      <c r="G186" s="63">
        <f>'Lobby Lounge'!G146+'Fangfei Lounge'!G146+'Royal Court'!G146+'MP Cafe'!G146+'Pingju Zhuhai'!G146+'Room Service'!G146+Banquet!G147+STW!G104+'Main Kitchen'!G105+'F&amp;B Admin'!G103</f>
        <v>37744.32</v>
      </c>
      <c r="H186" s="63">
        <f>'Lobby Lounge'!H146+'Fangfei Lounge'!H146+'Royal Court'!H146+'MP Cafe'!H146+'Pingju Zhuhai'!H146+'Room Service'!H146+Banquet!H147+STW!H104+'Main Kitchen'!H105+'F&amp;B Admin'!H103</f>
        <v>37744.319999999992</v>
      </c>
      <c r="I186" s="63">
        <f>'Lobby Lounge'!I146+'Fangfei Lounge'!I146+'Royal Court'!I146+'MP Cafe'!I146+'Pingju Zhuhai'!I146+'Room Service'!I146+Banquet!I147+STW!I104+'Main Kitchen'!I105+'F&amp;B Admin'!I103</f>
        <v>40204.319999999992</v>
      </c>
      <c r="J186" s="63">
        <f>'Lobby Lounge'!J146+'Fangfei Lounge'!J146+'Royal Court'!J146+'MP Cafe'!J146+'Pingju Zhuhai'!J146+'Room Service'!J146+Banquet!J147+STW!J104+'Main Kitchen'!J105+'F&amp;B Admin'!J103</f>
        <v>41530.33</v>
      </c>
      <c r="K186" s="63">
        <f>'Lobby Lounge'!K146+'Fangfei Lounge'!K146+'Royal Court'!K146+'MP Cafe'!K146+'Pingju Zhuhai'!K146+'Room Service'!K146+Banquet!K147+STW!K104+'Main Kitchen'!K105+'F&amp;B Admin'!K103</f>
        <v>42832.32</v>
      </c>
      <c r="L186" s="63">
        <f>'Lobby Lounge'!L146+'Fangfei Lounge'!L146+'Royal Court'!L146+'MP Cafe'!L146+'Pingju Zhuhai'!L146+'Room Service'!L146+Banquet!L147+STW!L104+'Main Kitchen'!L105+'F&amp;B Admin'!L103</f>
        <v>42832.32</v>
      </c>
      <c r="M186" s="63">
        <f>'Lobby Lounge'!M146+'Fangfei Lounge'!M146+'Royal Court'!M146+'MP Cafe'!M146+'Pingju Zhuhai'!M146+'Room Service'!M146+Banquet!M147+STW!M104+'Main Kitchen'!M105+'F&amp;B Admin'!M103</f>
        <v>43432.32</v>
      </c>
      <c r="N186" s="63">
        <f>'Lobby Lounge'!N146+'Fangfei Lounge'!N146+'Royal Court'!N146+'MP Cafe'!N146+'Pingju Zhuhai'!N146+'Room Service'!N146+Banquet!N147+STW!N104+'Main Kitchen'!N105+'F&amp;B Admin'!N103</f>
        <v>44122.319999999992</v>
      </c>
      <c r="O186" s="63">
        <f>'Lobby Lounge'!O146+'Fangfei Lounge'!O146+'Royal Court'!O146+'MP Cafe'!O146+'Pingju Zhuhai'!O146+'Room Service'!O146+Banquet!O147+STW!O104+'Main Kitchen'!O105+'F&amp;B Admin'!O103</f>
        <v>44602.319999999992</v>
      </c>
      <c r="P186" s="63">
        <f>'Lobby Lounge'!P146+'Fangfei Lounge'!P146+'Royal Court'!P146+'MP Cafe'!P146+'Pingju Zhuhai'!P146+'Room Service'!P146+Banquet!P147+STW!P104+'Main Kitchen'!P105+'F&amp;B Admin'!P103</f>
        <v>44872.32</v>
      </c>
      <c r="Q186" s="134">
        <f t="shared" ref="Q186:Q192" si="47">SUM(E186:P186)</f>
        <v>494865.85000000003</v>
      </c>
      <c r="R186" s="134">
        <v>745713.77</v>
      </c>
      <c r="S186" s="134">
        <f t="shared" si="46"/>
        <v>3.8188513331018252</v>
      </c>
      <c r="U186" s="148"/>
      <c r="V186" s="40" t="e">
        <f t="shared" si="38"/>
        <v>#DIV/0!</v>
      </c>
    </row>
    <row r="187" spans="1:22" s="77" customFormat="1" ht="25.4" customHeight="1">
      <c r="A187" s="3" t="s">
        <v>323</v>
      </c>
      <c r="B187" s="3" t="s">
        <v>403</v>
      </c>
      <c r="C187" s="3"/>
      <c r="D187" s="26" t="s">
        <v>324</v>
      </c>
      <c r="E187" s="63">
        <f>'Lobby Lounge'!E147+'Fangfei Lounge'!E147+'Royal Court'!E147+'MP Cafe'!E147+'Pingju Zhuhai'!E147+'Room Service'!E147+Banquet!E148+STW!E105+'Main Kitchen'!E106+'F&amp;B Admin'!E104</f>
        <v>5074.0000000000009</v>
      </c>
      <c r="F187" s="63">
        <f>'Lobby Lounge'!F147+'Fangfei Lounge'!F147+'Royal Court'!F147+'MP Cafe'!F147+'Pingju Zhuhai'!F147+'Room Service'!F147+Banquet!F148+STW!F105+'Main Kitchen'!F106+'F&amp;B Admin'!F104</f>
        <v>5074.0000000000009</v>
      </c>
      <c r="G187" s="63">
        <f>'Lobby Lounge'!G147+'Fangfei Lounge'!G147+'Royal Court'!G147+'MP Cafe'!G147+'Pingju Zhuhai'!G147+'Room Service'!G147+Banquet!G148+STW!G105+'Main Kitchen'!G106+'F&amp;B Admin'!G104</f>
        <v>5110.0000000000009</v>
      </c>
      <c r="H187" s="63">
        <f>'Lobby Lounge'!H147+'Fangfei Lounge'!H147+'Royal Court'!H147+'MP Cafe'!H147+'Pingju Zhuhai'!H147+'Room Service'!H147+Banquet!H148+STW!H105+'Main Kitchen'!H106+'F&amp;B Admin'!H104</f>
        <v>5109.9900000000007</v>
      </c>
      <c r="I187" s="63">
        <f>'Lobby Lounge'!I147+'Fangfei Lounge'!I147+'Royal Court'!I147+'MP Cafe'!I147+'Pingju Zhuhai'!I147+'Room Service'!I147+Banquet!I148+STW!I105+'Main Kitchen'!I106+'F&amp;B Admin'!I104</f>
        <v>5438.01</v>
      </c>
      <c r="J187" s="63">
        <f>'Lobby Lounge'!J147+'Fangfei Lounge'!J147+'Royal Court'!J147+'MP Cafe'!J147+'Pingju Zhuhai'!J147+'Room Service'!J147+Banquet!J148+STW!J105+'Main Kitchen'!J106+'F&amp;B Admin'!J104</f>
        <v>5614.8</v>
      </c>
      <c r="K187" s="63">
        <f>'Lobby Lounge'!K147+'Fangfei Lounge'!K147+'Royal Court'!K147+'MP Cafe'!K147+'Pingju Zhuhai'!K147+'Room Service'!K147+Banquet!K148+STW!K105+'Main Kitchen'!K106+'F&amp;B Admin'!K104</f>
        <v>5788.4000000000005</v>
      </c>
      <c r="L187" s="63">
        <f>'Lobby Lounge'!L147+'Fangfei Lounge'!L147+'Royal Court'!L147+'MP Cafe'!L147+'Pingju Zhuhai'!L147+'Room Service'!L147+Banquet!L148+STW!L105+'Main Kitchen'!L106+'F&amp;B Admin'!L104</f>
        <v>5788.4000000000005</v>
      </c>
      <c r="M187" s="63">
        <f>'Lobby Lounge'!M147+'Fangfei Lounge'!M147+'Royal Court'!M147+'MP Cafe'!M147+'Pingju Zhuhai'!M147+'Room Service'!M147+Banquet!M148+STW!M105+'Main Kitchen'!M106+'F&amp;B Admin'!M104</f>
        <v>5868.4000000000005</v>
      </c>
      <c r="N187" s="63">
        <f>'Lobby Lounge'!N147+'Fangfei Lounge'!N147+'Royal Court'!N147+'MP Cafe'!N147+'Pingju Zhuhai'!N147+'Room Service'!N147+Banquet!N148+STW!N105+'Main Kitchen'!N106+'F&amp;B Admin'!N104</f>
        <v>5960.4000000000005</v>
      </c>
      <c r="O187" s="63">
        <f>'Lobby Lounge'!O147+'Fangfei Lounge'!O147+'Royal Court'!O147+'MP Cafe'!O147+'Pingju Zhuhai'!O147+'Room Service'!O147+Banquet!O148+STW!O105+'Main Kitchen'!O106+'F&amp;B Admin'!O104</f>
        <v>6024.4000000000005</v>
      </c>
      <c r="P187" s="63">
        <f>'Lobby Lounge'!P147+'Fangfei Lounge'!P147+'Royal Court'!P147+'MP Cafe'!P147+'Pingju Zhuhai'!P147+'Room Service'!P147+Banquet!P148+STW!P105+'Main Kitchen'!P106+'F&amp;B Admin'!P104</f>
        <v>6060.4000000000005</v>
      </c>
      <c r="Q187" s="134">
        <f t="shared" si="47"/>
        <v>66911.200000000012</v>
      </c>
      <c r="R187" s="134">
        <v>41716.39</v>
      </c>
      <c r="S187" s="134">
        <f t="shared" si="46"/>
        <v>0.51634988617509747</v>
      </c>
      <c r="U187" s="148"/>
      <c r="V187" s="40" t="e">
        <f t="shared" si="38"/>
        <v>#DIV/0!</v>
      </c>
    </row>
    <row r="188" spans="1:22" s="77" customFormat="1" ht="25.4" customHeight="1">
      <c r="A188" s="3" t="s">
        <v>325</v>
      </c>
      <c r="B188" s="3" t="s">
        <v>403</v>
      </c>
      <c r="C188" s="3"/>
      <c r="D188" s="26" t="s">
        <v>326</v>
      </c>
      <c r="E188" s="63">
        <f>'Lobby Lounge'!E148+'Fangfei Lounge'!E148+'Royal Court'!E148+'MP Cafe'!E148+'Pingju Zhuhai'!E148+'Room Service'!E148+Banquet!E149+STW!E106+'Main Kitchen'!E107+'F&amp;B Admin'!E105</f>
        <v>2537</v>
      </c>
      <c r="F188" s="63">
        <f>'Lobby Lounge'!F148+'Fangfei Lounge'!F148+'Royal Court'!F148+'MP Cafe'!F148+'Pingju Zhuhai'!F148+'Room Service'!F148+Banquet!F149+STW!F106+'Main Kitchen'!F107+'F&amp;B Admin'!F105</f>
        <v>2537.0000000000005</v>
      </c>
      <c r="G188" s="63">
        <f>'Lobby Lounge'!G148+'Fangfei Lounge'!G148+'Royal Court'!G148+'MP Cafe'!G148+'Pingju Zhuhai'!G148+'Room Service'!G148+Banquet!G149+STW!G106+'Main Kitchen'!G107+'F&amp;B Admin'!G105</f>
        <v>2555</v>
      </c>
      <c r="H188" s="63">
        <f>'Lobby Lounge'!H148+'Fangfei Lounge'!H148+'Royal Court'!H148+'MP Cafe'!H148+'Pingju Zhuhai'!H148+'Room Service'!H148+Banquet!H149+STW!H106+'Main Kitchen'!H107+'F&amp;B Admin'!H105</f>
        <v>2555.0100000000002</v>
      </c>
      <c r="I188" s="63">
        <f>'Lobby Lounge'!I148+'Fangfei Lounge'!I148+'Royal Court'!I148+'MP Cafe'!I148+'Pingju Zhuhai'!I148+'Room Service'!I148+Banquet!I149+STW!I106+'Main Kitchen'!I107+'F&amp;B Admin'!I105</f>
        <v>2719</v>
      </c>
      <c r="J188" s="63">
        <f>'Lobby Lounge'!J148+'Fangfei Lounge'!J148+'Royal Court'!J148+'MP Cafe'!J148+'Pingju Zhuhai'!J148+'Room Service'!J148+Banquet!J149+STW!J106+'Main Kitchen'!J107+'F&amp;B Admin'!J105</f>
        <v>2807.4</v>
      </c>
      <c r="K188" s="63">
        <f>'Lobby Lounge'!K148+'Fangfei Lounge'!K148+'Royal Court'!K148+'MP Cafe'!K148+'Pingju Zhuhai'!K148+'Room Service'!K148+Banquet!K149+STW!K106+'Main Kitchen'!K107+'F&amp;B Admin'!K105</f>
        <v>2894.2099999999996</v>
      </c>
      <c r="L188" s="63">
        <f>'Lobby Lounge'!L148+'Fangfei Lounge'!L148+'Royal Court'!L148+'MP Cafe'!L148+'Pingju Zhuhai'!L148+'Room Service'!L148+Banquet!L149+STW!L106+'Main Kitchen'!L107+'F&amp;B Admin'!L105</f>
        <v>2894.2100000000005</v>
      </c>
      <c r="M188" s="63">
        <f>'Lobby Lounge'!M148+'Fangfei Lounge'!M148+'Royal Court'!M148+'MP Cafe'!M148+'Pingju Zhuhai'!M148+'Room Service'!M148+Banquet!M149+STW!M106+'Main Kitchen'!M107+'F&amp;B Admin'!M105</f>
        <v>2934.21</v>
      </c>
      <c r="N188" s="63">
        <f>'Lobby Lounge'!N148+'Fangfei Lounge'!N148+'Royal Court'!N148+'MP Cafe'!N148+'Pingju Zhuhai'!N148+'Room Service'!N148+Banquet!N149+STW!N106+'Main Kitchen'!N107+'F&amp;B Admin'!N105</f>
        <v>2980.19</v>
      </c>
      <c r="O188" s="63">
        <f>'Lobby Lounge'!O148+'Fangfei Lounge'!O148+'Royal Court'!O148+'MP Cafe'!O148+'Pingju Zhuhai'!O148+'Room Service'!O148+Banquet!O149+STW!O106+'Main Kitchen'!O107+'F&amp;B Admin'!O105</f>
        <v>3012.2000000000003</v>
      </c>
      <c r="P188" s="63">
        <f>'Lobby Lounge'!P148+'Fangfei Lounge'!P148+'Royal Court'!P148+'MP Cafe'!P148+'Pingju Zhuhai'!P148+'Room Service'!P148+Banquet!P149+STW!P106+'Main Kitchen'!P107+'F&amp;B Admin'!P105</f>
        <v>3030.19</v>
      </c>
      <c r="Q188" s="134">
        <f t="shared" si="47"/>
        <v>33455.619999999995</v>
      </c>
      <c r="R188" s="134">
        <v>22910.28</v>
      </c>
      <c r="S188" s="134">
        <f t="shared" si="46"/>
        <v>0.2581750974263996</v>
      </c>
      <c r="U188" s="148"/>
      <c r="V188" s="40" t="e">
        <f t="shared" si="38"/>
        <v>#DIV/0!</v>
      </c>
    </row>
    <row r="189" spans="1:22" s="77" customFormat="1" ht="25.4" customHeight="1">
      <c r="A189" s="3" t="s">
        <v>327</v>
      </c>
      <c r="B189" s="3" t="s">
        <v>403</v>
      </c>
      <c r="C189" s="3"/>
      <c r="D189" s="26" t="s">
        <v>328</v>
      </c>
      <c r="E189" s="63">
        <f>'Lobby Lounge'!E149+'Fangfei Lounge'!E149+'Royal Court'!E149+'MP Cafe'!E149+'Pingju Zhuhai'!E149+'Room Service'!E149+Banquet!E150+STW!E107+'Main Kitchen'!E108+'F&amp;B Admin'!E106</f>
        <v>0</v>
      </c>
      <c r="F189" s="63">
        <f>'Lobby Lounge'!F149+'Fangfei Lounge'!F149+'Royal Court'!F149+'MP Cafe'!F149+'Pingju Zhuhai'!F149+'Room Service'!F149+Banquet!F150+STW!F107+'Main Kitchen'!F108+'F&amp;B Admin'!F106</f>
        <v>0</v>
      </c>
      <c r="G189" s="63">
        <f>'Lobby Lounge'!G149+'Fangfei Lounge'!G149+'Royal Court'!G149+'MP Cafe'!G149+'Pingju Zhuhai'!G149+'Room Service'!G149+Banquet!G150+STW!G107+'Main Kitchen'!G108+'F&amp;B Admin'!G106</f>
        <v>0</v>
      </c>
      <c r="H189" s="63">
        <f>'Lobby Lounge'!H149+'Fangfei Lounge'!H149+'Royal Court'!H149+'MP Cafe'!H149+'Pingju Zhuhai'!H149+'Room Service'!H149+Banquet!H150+STW!H107+'Main Kitchen'!H108+'F&amp;B Admin'!H106</f>
        <v>0</v>
      </c>
      <c r="I189" s="63">
        <f>'Lobby Lounge'!I149+'Fangfei Lounge'!I149+'Royal Court'!I149+'MP Cafe'!I149+'Pingju Zhuhai'!I149+'Room Service'!I149+Banquet!I150+STW!I107+'Main Kitchen'!I108+'F&amp;B Admin'!I106</f>
        <v>0</v>
      </c>
      <c r="J189" s="63">
        <f>'Lobby Lounge'!J149+'Fangfei Lounge'!J149+'Royal Court'!J149+'MP Cafe'!J149+'Pingju Zhuhai'!J149+'Room Service'!J149+Banquet!J150+STW!J107+'Main Kitchen'!J108+'F&amp;B Admin'!J106</f>
        <v>0</v>
      </c>
      <c r="K189" s="63">
        <f>'Lobby Lounge'!K149+'Fangfei Lounge'!K149+'Royal Court'!K149+'MP Cafe'!K149+'Pingju Zhuhai'!K149+'Room Service'!K149+Banquet!K150+STW!K107+'Main Kitchen'!K108+'F&amp;B Admin'!K106</f>
        <v>0</v>
      </c>
      <c r="L189" s="63">
        <f>'Lobby Lounge'!L149+'Fangfei Lounge'!L149+'Royal Court'!L149+'MP Cafe'!L149+'Pingju Zhuhai'!L149+'Room Service'!L149+Banquet!L150+STW!L107+'Main Kitchen'!L108+'F&amp;B Admin'!L106</f>
        <v>0</v>
      </c>
      <c r="M189" s="63">
        <f>'Lobby Lounge'!M149+'Fangfei Lounge'!M149+'Royal Court'!M149+'MP Cafe'!M149+'Pingju Zhuhai'!M149+'Room Service'!M149+Banquet!M150+STW!M107+'Main Kitchen'!M108+'F&amp;B Admin'!M106</f>
        <v>0</v>
      </c>
      <c r="N189" s="63">
        <f>'Lobby Lounge'!N149+'Fangfei Lounge'!N149+'Royal Court'!N149+'MP Cafe'!N149+'Pingju Zhuhai'!N149+'Room Service'!N149+Banquet!N150+STW!N107+'Main Kitchen'!N108+'F&amp;B Admin'!N106</f>
        <v>0</v>
      </c>
      <c r="O189" s="63">
        <f>'Lobby Lounge'!O149+'Fangfei Lounge'!O149+'Royal Court'!O149+'MP Cafe'!O149+'Pingju Zhuhai'!O149+'Room Service'!O149+Banquet!O150+STW!O107+'Main Kitchen'!O108+'F&amp;B Admin'!O106</f>
        <v>0</v>
      </c>
      <c r="P189" s="63">
        <f>'Lobby Lounge'!P149+'Fangfei Lounge'!P149+'Royal Court'!P149+'MP Cafe'!P149+'Pingju Zhuhai'!P149+'Room Service'!P149+Banquet!P150+STW!P107+'Main Kitchen'!P108+'F&amp;B Admin'!P106</f>
        <v>0</v>
      </c>
      <c r="Q189" s="134">
        <f t="shared" si="47"/>
        <v>0</v>
      </c>
      <c r="R189" s="134">
        <v>77195.03</v>
      </c>
      <c r="S189" s="134">
        <f t="shared" si="46"/>
        <v>0</v>
      </c>
      <c r="U189" s="148"/>
      <c r="V189" s="40">
        <f t="shared" si="38"/>
        <v>0</v>
      </c>
    </row>
    <row r="190" spans="1:22" s="77" customFormat="1" ht="25.4" customHeight="1">
      <c r="A190" s="3" t="s">
        <v>329</v>
      </c>
      <c r="B190" s="3" t="s">
        <v>403</v>
      </c>
      <c r="C190" s="3"/>
      <c r="D190" s="26" t="s">
        <v>330</v>
      </c>
      <c r="E190" s="63">
        <f>'Lobby Lounge'!E150+'Fangfei Lounge'!E150+'Royal Court'!E150+'MP Cafe'!E150+'Pingju Zhuhai'!E150+'Room Service'!E150+Banquet!E151+STW!E108+'Main Kitchen'!E109+'F&amp;B Admin'!E107</f>
        <v>50740</v>
      </c>
      <c r="F190" s="63">
        <f>'Lobby Lounge'!F150+'Fangfei Lounge'!F150+'Royal Court'!F150+'MP Cafe'!F150+'Pingju Zhuhai'!F150+'Room Service'!F150+Banquet!F151+STW!F108+'Main Kitchen'!F109+'F&amp;B Admin'!F107</f>
        <v>50740</v>
      </c>
      <c r="G190" s="63">
        <f>'Lobby Lounge'!G150+'Fangfei Lounge'!G150+'Royal Court'!G150+'MP Cafe'!G150+'Pingju Zhuhai'!G150+'Room Service'!G150+Banquet!G151+STW!G108+'Main Kitchen'!G109+'F&amp;B Admin'!G107</f>
        <v>51099.999999999993</v>
      </c>
      <c r="H190" s="63">
        <f>'Lobby Lounge'!H150+'Fangfei Lounge'!H150+'Royal Court'!H150+'MP Cafe'!H150+'Pingju Zhuhai'!H150+'Room Service'!H150+Banquet!H151+STW!H108+'Main Kitchen'!H109+'F&amp;B Admin'!H107</f>
        <v>51100</v>
      </c>
      <c r="I190" s="63">
        <f>'Lobby Lounge'!I150+'Fangfei Lounge'!I150+'Royal Court'!I150+'MP Cafe'!I150+'Pingju Zhuhai'!I150+'Room Service'!I150+Banquet!I151+STW!I108+'Main Kitchen'!I109+'F&amp;B Admin'!I107</f>
        <v>54380</v>
      </c>
      <c r="J190" s="63">
        <f>'Lobby Lounge'!J150+'Fangfei Lounge'!J150+'Royal Court'!J150+'MP Cafe'!J150+'Pingju Zhuhai'!J150+'Room Service'!J150+Banquet!J151+STW!J108+'Main Kitchen'!J109+'F&amp;B Admin'!J107</f>
        <v>56148</v>
      </c>
      <c r="K190" s="63">
        <f>'Lobby Lounge'!K150+'Fangfei Lounge'!K150+'Royal Court'!K150+'MP Cafe'!K150+'Pingju Zhuhai'!K150+'Room Service'!K150+Banquet!K151+STW!K108+'Main Kitchen'!K109+'F&amp;B Admin'!K107</f>
        <v>57883.99</v>
      </c>
      <c r="L190" s="63">
        <f>'Lobby Lounge'!L150+'Fangfei Lounge'!L150+'Royal Court'!L150+'MP Cafe'!L150+'Pingju Zhuhai'!L150+'Room Service'!L150+Banquet!L151+STW!L108+'Main Kitchen'!L109+'F&amp;B Admin'!L107</f>
        <v>57884</v>
      </c>
      <c r="M190" s="63">
        <f>'Lobby Lounge'!M150+'Fangfei Lounge'!M150+'Royal Court'!M150+'MP Cafe'!M150+'Pingju Zhuhai'!M150+'Room Service'!M150+Banquet!M151+STW!M108+'Main Kitchen'!M109+'F&amp;B Admin'!M107</f>
        <v>58684.01</v>
      </c>
      <c r="N190" s="63">
        <f>'Lobby Lounge'!N150+'Fangfei Lounge'!N150+'Royal Court'!N150+'MP Cafe'!N150+'Pingju Zhuhai'!N150+'Room Service'!N150+Banquet!N151+STW!N108+'Main Kitchen'!N109+'F&amp;B Admin'!N107</f>
        <v>59604</v>
      </c>
      <c r="O190" s="63">
        <f>'Lobby Lounge'!O150+'Fangfei Lounge'!O150+'Royal Court'!O150+'MP Cafe'!O150+'Pingju Zhuhai'!O150+'Room Service'!O150+Banquet!O151+STW!O108+'Main Kitchen'!O109+'F&amp;B Admin'!O107</f>
        <v>60243.99</v>
      </c>
      <c r="P190" s="63">
        <f>'Lobby Lounge'!P150+'Fangfei Lounge'!P150+'Royal Court'!P150+'MP Cafe'!P150+'Pingju Zhuhai'!P150+'Room Service'!P150+Banquet!P151+STW!P108+'Main Kitchen'!P109+'F&amp;B Admin'!P107</f>
        <v>60603.999999999993</v>
      </c>
      <c r="Q190" s="134">
        <f t="shared" si="47"/>
        <v>669111.99</v>
      </c>
      <c r="R190" s="134">
        <v>914654.65</v>
      </c>
      <c r="S190" s="134">
        <f t="shared" si="46"/>
        <v>5.1634987845815488</v>
      </c>
      <c r="U190" s="148"/>
      <c r="V190" s="40" t="e">
        <f t="shared" si="38"/>
        <v>#DIV/0!</v>
      </c>
    </row>
    <row r="191" spans="1:22" s="77" customFormat="1" ht="25.4" customHeight="1">
      <c r="A191" s="3" t="s">
        <v>331</v>
      </c>
      <c r="B191" s="3" t="s">
        <v>403</v>
      </c>
      <c r="C191" s="3"/>
      <c r="D191" s="26" t="s">
        <v>332</v>
      </c>
      <c r="E191" s="63">
        <f>'Lobby Lounge'!E151+'Fangfei Lounge'!E151+'Royal Court'!E151+'MP Cafe'!E151+'Pingju Zhuhai'!E151+'Room Service'!E151+Banquet!E152+STW!E109+'Main Kitchen'!E110+'F&amp;B Admin'!E108</f>
        <v>14304.99</v>
      </c>
      <c r="F191" s="63">
        <f>'Lobby Lounge'!F151+'Fangfei Lounge'!F151+'Royal Court'!F151+'MP Cafe'!F151+'Pingju Zhuhai'!F151+'Room Service'!F151+Banquet!F152+STW!F109+'Main Kitchen'!F110+'F&amp;B Admin'!F108</f>
        <v>14305</v>
      </c>
      <c r="G191" s="63">
        <f>'Lobby Lounge'!G151+'Fangfei Lounge'!G151+'Royal Court'!G151+'MP Cafe'!G151+'Pingju Zhuhai'!G151+'Room Service'!G151+Banquet!G152+STW!G109+'Main Kitchen'!G110+'F&amp;B Admin'!G108</f>
        <v>14395.01</v>
      </c>
      <c r="H191" s="63">
        <f>'Lobby Lounge'!H151+'Fangfei Lounge'!H151+'Royal Court'!H151+'MP Cafe'!H151+'Pingju Zhuhai'!H151+'Room Service'!H151+Banquet!H152+STW!H109+'Main Kitchen'!H110+'F&amp;B Admin'!H108</f>
        <v>14395</v>
      </c>
      <c r="I191" s="63">
        <f>'Lobby Lounge'!I151+'Fangfei Lounge'!I151+'Royal Court'!I151+'MP Cafe'!I151+'Pingju Zhuhai'!I151+'Room Service'!I151+Banquet!I152+STW!I109+'Main Kitchen'!I110+'F&amp;B Admin'!I108</f>
        <v>15215</v>
      </c>
      <c r="J191" s="63">
        <f>'Lobby Lounge'!J151+'Fangfei Lounge'!J151+'Royal Court'!J151+'MP Cafe'!J151+'Pingju Zhuhai'!J151+'Room Service'!J151+Banquet!J152+STW!J109+'Main Kitchen'!J110+'F&amp;B Admin'!J108</f>
        <v>15656.990000000002</v>
      </c>
      <c r="K191" s="63">
        <f>'Lobby Lounge'!K151+'Fangfei Lounge'!K151+'Royal Court'!K151+'MP Cafe'!K151+'Pingju Zhuhai'!K151+'Room Service'!K151+Banquet!K152+STW!K109+'Main Kitchen'!K110+'F&amp;B Admin'!K108</f>
        <v>16091.000000000002</v>
      </c>
      <c r="L191" s="63">
        <f>'Lobby Lounge'!L151+'Fangfei Lounge'!L151+'Royal Court'!L151+'MP Cafe'!L151+'Pingju Zhuhai'!L151+'Room Service'!L151+Banquet!L152+STW!L109+'Main Kitchen'!L110+'F&amp;B Admin'!L108</f>
        <v>16091</v>
      </c>
      <c r="M191" s="63">
        <f>'Lobby Lounge'!M151+'Fangfei Lounge'!M151+'Royal Court'!M151+'MP Cafe'!M151+'Pingju Zhuhai'!M151+'Room Service'!M151+Banquet!M152+STW!M109+'Main Kitchen'!M110+'F&amp;B Admin'!M108</f>
        <v>16291</v>
      </c>
      <c r="N191" s="63">
        <f>'Lobby Lounge'!N151+'Fangfei Lounge'!N151+'Royal Court'!N151+'MP Cafe'!N151+'Pingju Zhuhai'!N151+'Room Service'!N151+Banquet!N152+STW!N109+'Main Kitchen'!N110+'F&amp;B Admin'!N108</f>
        <v>16520.989999999998</v>
      </c>
      <c r="O191" s="63">
        <f>'Lobby Lounge'!O151+'Fangfei Lounge'!O151+'Royal Court'!O151+'MP Cafe'!O151+'Pingju Zhuhai'!O151+'Room Service'!O151+Banquet!O152+STW!O109+'Main Kitchen'!O110+'F&amp;B Admin'!O108</f>
        <v>16681</v>
      </c>
      <c r="P191" s="63">
        <f>'Lobby Lounge'!P151+'Fangfei Lounge'!P151+'Royal Court'!P151+'MP Cafe'!P151+'Pingju Zhuhai'!P151+'Room Service'!P151+Banquet!P152+STW!P109+'Main Kitchen'!P110+'F&amp;B Admin'!P108</f>
        <v>16771</v>
      </c>
      <c r="Q191" s="134">
        <f t="shared" si="47"/>
        <v>186717.97999999998</v>
      </c>
      <c r="R191" s="134">
        <v>0</v>
      </c>
      <c r="S191" s="134">
        <f t="shared" si="46"/>
        <v>1.4408919242196241</v>
      </c>
      <c r="U191" s="148"/>
      <c r="V191" s="40" t="e">
        <f t="shared" si="38"/>
        <v>#DIV/0!</v>
      </c>
    </row>
    <row r="192" spans="1:22" s="77" customFormat="1" ht="25.4" customHeight="1">
      <c r="A192" s="3" t="s">
        <v>333</v>
      </c>
      <c r="B192" s="3" t="s">
        <v>403</v>
      </c>
      <c r="C192" s="3"/>
      <c r="D192" s="26" t="s">
        <v>334</v>
      </c>
      <c r="E192" s="63">
        <f>'Lobby Lounge'!E152+'Fangfei Lounge'!E152+'Royal Court'!E152+'MP Cafe'!E152+'Pingju Zhuhai'!E152+'Room Service'!E152+Banquet!E153+STW!E110+'Main Kitchen'!E111+'F&amp;B Admin'!E109</f>
        <v>0</v>
      </c>
      <c r="F192" s="63">
        <f>'Lobby Lounge'!F152+'Fangfei Lounge'!F152+'Royal Court'!F152+'MP Cafe'!F152+'Pingju Zhuhai'!F152+'Room Service'!F152+Banquet!F153+STW!F110+'Main Kitchen'!F111+'F&amp;B Admin'!F109</f>
        <v>0</v>
      </c>
      <c r="G192" s="63">
        <f>'Lobby Lounge'!G152+'Fangfei Lounge'!G152+'Royal Court'!G152+'MP Cafe'!G152+'Pingju Zhuhai'!G152+'Room Service'!G152+Banquet!G153+STW!G110+'Main Kitchen'!G111+'F&amp;B Admin'!G109</f>
        <v>0</v>
      </c>
      <c r="H192" s="63">
        <f>'Lobby Lounge'!H152+'Fangfei Lounge'!H152+'Royal Court'!H152+'MP Cafe'!H152+'Pingju Zhuhai'!H152+'Room Service'!H152+Banquet!H153+STW!H110+'Main Kitchen'!H111+'F&amp;B Admin'!H109</f>
        <v>0</v>
      </c>
      <c r="I192" s="63">
        <f>'Lobby Lounge'!I152+'Fangfei Lounge'!I152+'Royal Court'!I152+'MP Cafe'!I152+'Pingju Zhuhai'!I152+'Room Service'!I152+Banquet!I153+STW!I110+'Main Kitchen'!I111+'F&amp;B Admin'!I109</f>
        <v>0</v>
      </c>
      <c r="J192" s="63">
        <f>'Lobby Lounge'!J152+'Fangfei Lounge'!J152+'Royal Court'!J152+'MP Cafe'!J152+'Pingju Zhuhai'!J152+'Room Service'!J152+Banquet!J153+STW!J110+'Main Kitchen'!J111+'F&amp;B Admin'!J109</f>
        <v>0</v>
      </c>
      <c r="K192" s="63">
        <f>'Lobby Lounge'!K152+'Fangfei Lounge'!K152+'Royal Court'!K152+'MP Cafe'!K152+'Pingju Zhuhai'!K152+'Room Service'!K152+Banquet!K153+STW!K110+'Main Kitchen'!K111+'F&amp;B Admin'!K109</f>
        <v>0</v>
      </c>
      <c r="L192" s="63">
        <f>'Lobby Lounge'!L152+'Fangfei Lounge'!L152+'Royal Court'!L152+'MP Cafe'!L152+'Pingju Zhuhai'!L152+'Room Service'!L152+Banquet!L153+STW!L110+'Main Kitchen'!L111+'F&amp;B Admin'!L109</f>
        <v>0</v>
      </c>
      <c r="M192" s="63">
        <f>'Lobby Lounge'!M152+'Fangfei Lounge'!M152+'Royal Court'!M152+'MP Cafe'!M152+'Pingju Zhuhai'!M152+'Room Service'!M152+Banquet!M153+STW!M110+'Main Kitchen'!M111+'F&amp;B Admin'!M109</f>
        <v>0</v>
      </c>
      <c r="N192" s="63">
        <f>'Lobby Lounge'!N152+'Fangfei Lounge'!N152+'Royal Court'!N152+'MP Cafe'!N152+'Pingju Zhuhai'!N152+'Room Service'!N152+Banquet!N153+STW!N110+'Main Kitchen'!N111+'F&amp;B Admin'!N109</f>
        <v>0</v>
      </c>
      <c r="O192" s="63">
        <f>'Lobby Lounge'!O152+'Fangfei Lounge'!O152+'Royal Court'!O152+'MP Cafe'!O152+'Pingju Zhuhai'!O152+'Room Service'!O152+Banquet!O153+STW!O110+'Main Kitchen'!O111+'F&amp;B Admin'!O109</f>
        <v>0</v>
      </c>
      <c r="P192" s="63">
        <f>'Lobby Lounge'!P152+'Fangfei Lounge'!P152+'Royal Court'!P152+'MP Cafe'!P152+'Pingju Zhuhai'!P152+'Room Service'!P152+Banquet!P153+STW!P110+'Main Kitchen'!P111+'F&amp;B Admin'!P109</f>
        <v>0</v>
      </c>
      <c r="Q192" s="134">
        <f t="shared" si="47"/>
        <v>0</v>
      </c>
      <c r="R192" s="134">
        <v>0</v>
      </c>
      <c r="S192" s="134">
        <f t="shared" si="46"/>
        <v>0</v>
      </c>
      <c r="U192" s="148"/>
      <c r="V192" s="40">
        <f t="shared" si="38"/>
        <v>0</v>
      </c>
    </row>
    <row r="193" spans="1:29" s="77" customFormat="1" ht="25.4" customHeight="1">
      <c r="A193" s="3"/>
      <c r="B193" s="3"/>
      <c r="C193" s="3"/>
      <c r="D193" s="19" t="s">
        <v>335</v>
      </c>
      <c r="E193" s="151">
        <f>SUM(E185:E192)</f>
        <v>206179.81</v>
      </c>
      <c r="F193" s="151">
        <f t="shared" ref="F193:Q193" si="48">SUM(F185:F192)</f>
        <v>206179.81</v>
      </c>
      <c r="G193" s="151">
        <f t="shared" si="48"/>
        <v>207635.73</v>
      </c>
      <c r="H193" s="151">
        <f t="shared" si="48"/>
        <v>207635.71999999997</v>
      </c>
      <c r="I193" s="151">
        <f t="shared" si="48"/>
        <v>220858.43</v>
      </c>
      <c r="J193" s="151">
        <f t="shared" si="48"/>
        <v>228138.40999999997</v>
      </c>
      <c r="K193" s="151">
        <f t="shared" si="48"/>
        <v>235214.61999999997</v>
      </c>
      <c r="L193" s="151">
        <f t="shared" si="48"/>
        <v>235214.62999999998</v>
      </c>
      <c r="M193" s="151">
        <f t="shared" si="48"/>
        <v>238441.53999999998</v>
      </c>
      <c r="N193" s="151">
        <f t="shared" si="48"/>
        <v>242151.4</v>
      </c>
      <c r="O193" s="151">
        <f t="shared" si="48"/>
        <v>244727.4</v>
      </c>
      <c r="P193" s="151">
        <f t="shared" si="48"/>
        <v>246183.31</v>
      </c>
      <c r="Q193" s="151">
        <f t="shared" si="48"/>
        <v>2718560.81</v>
      </c>
      <c r="R193" s="151">
        <v>2850997.75</v>
      </c>
      <c r="S193" s="134">
        <f t="shared" si="46"/>
        <v>20.9789775822819</v>
      </c>
      <c r="U193" s="148"/>
      <c r="V193" s="40" t="e">
        <f t="shared" si="38"/>
        <v>#DIV/0!</v>
      </c>
    </row>
    <row r="194" spans="1:29" s="77" customFormat="1" ht="25.4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2"/>
      <c r="M194" s="152"/>
      <c r="U194" s="148"/>
      <c r="V194" s="40"/>
    </row>
    <row r="195" spans="1:29" s="77" customFormat="1" ht="25.4" customHeight="1">
      <c r="A195" s="3" t="s">
        <v>336</v>
      </c>
      <c r="B195" s="3" t="s">
        <v>403</v>
      </c>
      <c r="C195" s="3"/>
      <c r="D195" s="26" t="s">
        <v>337</v>
      </c>
      <c r="E195" s="63">
        <f>'Lobby Lounge'!E155+'Fangfei Lounge'!E155+'Royal Court'!E155+'MP Cafe'!E155+'Pingju Zhuhai'!E155+'Room Service'!E155+Banquet!E156+STW!E113+'Main Kitchen'!E114+'F&amp;B Admin'!E112</f>
        <v>0</v>
      </c>
      <c r="F195" s="63">
        <f>'Lobby Lounge'!F155+'Fangfei Lounge'!F155+'Royal Court'!F155+'MP Cafe'!F155+'Pingju Zhuhai'!F155+'Room Service'!F155+Banquet!F156+STW!F113+'Main Kitchen'!F114+'F&amp;B Admin'!F112</f>
        <v>0</v>
      </c>
      <c r="G195" s="63">
        <f>'Lobby Lounge'!G155+'Fangfei Lounge'!G155+'Royal Court'!G155+'MP Cafe'!G155+'Pingju Zhuhai'!G155+'Room Service'!G155+Banquet!G156+STW!G113+'Main Kitchen'!G114+'F&amp;B Admin'!G112</f>
        <v>0</v>
      </c>
      <c r="H195" s="63">
        <f>'Lobby Lounge'!H155+'Fangfei Lounge'!H155+'Royal Court'!H155+'MP Cafe'!H155+'Pingju Zhuhai'!H155+'Room Service'!H155+Banquet!H156+STW!H113+'Main Kitchen'!H114+'F&amp;B Admin'!H112</f>
        <v>0</v>
      </c>
      <c r="I195" s="63">
        <f>'Lobby Lounge'!I155+'Fangfei Lounge'!I155+'Royal Court'!I155+'MP Cafe'!I155+'Pingju Zhuhai'!I155+'Room Service'!I155+Banquet!I156+STW!I113+'Main Kitchen'!I114+'F&amp;B Admin'!I112</f>
        <v>0</v>
      </c>
      <c r="J195" s="63">
        <f>'Lobby Lounge'!J155+'Fangfei Lounge'!J155+'Royal Court'!J155+'MP Cafe'!J155+'Pingju Zhuhai'!J155+'Room Service'!J155+Banquet!J156+STW!J113+'Main Kitchen'!J114+'F&amp;B Admin'!J112</f>
        <v>0</v>
      </c>
      <c r="K195" s="63">
        <f>'Lobby Lounge'!K155+'Fangfei Lounge'!K155+'Royal Court'!K155+'MP Cafe'!K155+'Pingju Zhuhai'!K155+'Room Service'!K155+Banquet!K156+STW!K113+'Main Kitchen'!K114+'F&amp;B Admin'!K112</f>
        <v>0</v>
      </c>
      <c r="L195" s="63">
        <f>'Lobby Lounge'!L155+'Fangfei Lounge'!L155+'Royal Court'!L155+'MP Cafe'!L155+'Pingju Zhuhai'!L155+'Room Service'!L155+Banquet!L156+STW!L113+'Main Kitchen'!L114+'F&amp;B Admin'!L112</f>
        <v>0</v>
      </c>
      <c r="M195" s="63">
        <f>'Lobby Lounge'!M155+'Fangfei Lounge'!M155+'Royal Court'!M155+'MP Cafe'!M155+'Pingju Zhuhai'!M155+'Room Service'!M155+Banquet!M156+STW!M113+'Main Kitchen'!M114+'F&amp;B Admin'!M112</f>
        <v>0</v>
      </c>
      <c r="N195" s="63">
        <f>'Lobby Lounge'!N155+'Fangfei Lounge'!N155+'Royal Court'!N155+'MP Cafe'!N155+'Pingju Zhuhai'!N155+'Room Service'!N155+Banquet!N156+STW!N113+'Main Kitchen'!N114+'F&amp;B Admin'!N112</f>
        <v>0</v>
      </c>
      <c r="O195" s="63">
        <f>'Lobby Lounge'!O155+'Fangfei Lounge'!O155+'Royal Court'!O155+'MP Cafe'!O155+'Pingju Zhuhai'!O155+'Room Service'!O155+Banquet!O156+STW!O113+'Main Kitchen'!O114+'F&amp;B Admin'!O112</f>
        <v>0</v>
      </c>
      <c r="P195" s="63">
        <f>'Lobby Lounge'!P155+'Fangfei Lounge'!P155+'Royal Court'!P155+'MP Cafe'!P155+'Pingju Zhuhai'!P155+'Room Service'!P155+Banquet!P156+STW!P113+'Main Kitchen'!P114+'F&amp;B Admin'!P112</f>
        <v>0</v>
      </c>
      <c r="Q195" s="134">
        <f t="shared" ref="Q195:Q201" si="49">SUM(E195:P195)</f>
        <v>0</v>
      </c>
      <c r="R195" s="134">
        <v>0</v>
      </c>
      <c r="U195" s="148">
        <v>0</v>
      </c>
      <c r="V195" s="40"/>
    </row>
    <row r="196" spans="1:29" s="77" customFormat="1" ht="25.4" customHeight="1">
      <c r="A196" s="3" t="s">
        <v>338</v>
      </c>
      <c r="B196" s="3" t="s">
        <v>403</v>
      </c>
      <c r="C196" s="3"/>
      <c r="D196" s="3" t="s">
        <v>339</v>
      </c>
      <c r="E196" s="63">
        <f>'Lobby Lounge'!E156+'Fangfei Lounge'!E156+'Royal Court'!E156+'MP Cafe'!E156+'Pingju Zhuhai'!E156+'Room Service'!E156+Banquet!E157+STW!E114+'Main Kitchen'!E115+'F&amp;B Admin'!E113</f>
        <v>0</v>
      </c>
      <c r="F196" s="63">
        <f>'Lobby Lounge'!F156+'Fangfei Lounge'!F156+'Royal Court'!F156+'MP Cafe'!F156+'Pingju Zhuhai'!F156+'Room Service'!F156+Banquet!F157+STW!F114+'Main Kitchen'!F115+'F&amp;B Admin'!F113</f>
        <v>0</v>
      </c>
      <c r="G196" s="63">
        <f>'Lobby Lounge'!G156+'Fangfei Lounge'!G156+'Royal Court'!G156+'MP Cafe'!G156+'Pingju Zhuhai'!G156+'Room Service'!G156+Banquet!G157+STW!G114+'Main Kitchen'!G115+'F&amp;B Admin'!G113</f>
        <v>0</v>
      </c>
      <c r="H196" s="63">
        <f>'Lobby Lounge'!H156+'Fangfei Lounge'!H156+'Royal Court'!H156+'MP Cafe'!H156+'Pingju Zhuhai'!H156+'Room Service'!H156+Banquet!H157+STW!H114+'Main Kitchen'!H115+'F&amp;B Admin'!H113</f>
        <v>0</v>
      </c>
      <c r="I196" s="63">
        <f>'Lobby Lounge'!I156+'Fangfei Lounge'!I156+'Royal Court'!I156+'MP Cafe'!I156+'Pingju Zhuhai'!I156+'Room Service'!I156+Banquet!I157+STW!I114+'Main Kitchen'!I115+'F&amp;B Admin'!I113</f>
        <v>0</v>
      </c>
      <c r="J196" s="63">
        <f>'Lobby Lounge'!J156+'Fangfei Lounge'!J156+'Royal Court'!J156+'MP Cafe'!J156+'Pingju Zhuhai'!J156+'Room Service'!J156+Banquet!J157+STW!J114+'Main Kitchen'!J115+'F&amp;B Admin'!J113</f>
        <v>0</v>
      </c>
      <c r="K196" s="63">
        <f>'Lobby Lounge'!K156+'Fangfei Lounge'!K156+'Royal Court'!K156+'MP Cafe'!K156+'Pingju Zhuhai'!K156+'Room Service'!K156+Banquet!K157+STW!K114+'Main Kitchen'!K115+'F&amp;B Admin'!K113</f>
        <v>0</v>
      </c>
      <c r="L196" s="63">
        <f>'Lobby Lounge'!L156+'Fangfei Lounge'!L156+'Royal Court'!L156+'MP Cafe'!L156+'Pingju Zhuhai'!L156+'Room Service'!L156+Banquet!L157+STW!L114+'Main Kitchen'!L115+'F&amp;B Admin'!L113</f>
        <v>0</v>
      </c>
      <c r="M196" s="63">
        <f>'Lobby Lounge'!M156+'Fangfei Lounge'!M156+'Royal Court'!M156+'MP Cafe'!M156+'Pingju Zhuhai'!M156+'Room Service'!M156+Banquet!M157+STW!M114+'Main Kitchen'!M115+'F&amp;B Admin'!M113</f>
        <v>0</v>
      </c>
      <c r="N196" s="63">
        <f>'Lobby Lounge'!N156+'Fangfei Lounge'!N156+'Royal Court'!N156+'MP Cafe'!N156+'Pingju Zhuhai'!N156+'Room Service'!N156+Banquet!N157+STW!N114+'Main Kitchen'!N115+'F&amp;B Admin'!N113</f>
        <v>0</v>
      </c>
      <c r="O196" s="63">
        <f>'Lobby Lounge'!O156+'Fangfei Lounge'!O156+'Royal Court'!O156+'MP Cafe'!O156+'Pingju Zhuhai'!O156+'Room Service'!O156+Banquet!O157+STW!O114+'Main Kitchen'!O115+'F&amp;B Admin'!O113</f>
        <v>0</v>
      </c>
      <c r="P196" s="63">
        <f>'Lobby Lounge'!P156+'Fangfei Lounge'!P156+'Royal Court'!P156+'MP Cafe'!P156+'Pingju Zhuhai'!P156+'Room Service'!P156+Banquet!P157+STW!P114+'Main Kitchen'!P115+'F&amp;B Admin'!P113</f>
        <v>0</v>
      </c>
      <c r="Q196" s="134">
        <f t="shared" si="49"/>
        <v>0</v>
      </c>
      <c r="R196" s="134">
        <v>0</v>
      </c>
      <c r="U196" s="148">
        <v>0</v>
      </c>
      <c r="V196" s="40"/>
    </row>
    <row r="197" spans="1:29" s="77" customFormat="1" ht="25.4" customHeight="1">
      <c r="A197" s="3" t="s">
        <v>340</v>
      </c>
      <c r="B197" s="3" t="s">
        <v>403</v>
      </c>
      <c r="C197" s="3"/>
      <c r="D197" s="26" t="s">
        <v>341</v>
      </c>
      <c r="E197" s="63">
        <f>'Lobby Lounge'!E157+'Fangfei Lounge'!E157+'Royal Court'!E157+'MP Cafe'!E157+'Pingju Zhuhai'!E157+'Room Service'!E157+Banquet!E158+STW!E115+'Main Kitchen'!E116+'F&amp;B Admin'!E114</f>
        <v>0</v>
      </c>
      <c r="F197" s="63">
        <f>'Lobby Lounge'!F157+'Fangfei Lounge'!F157+'Royal Court'!F157+'MP Cafe'!F157+'Pingju Zhuhai'!F157+'Room Service'!F157+Banquet!F158+STW!F115+'Main Kitchen'!F116+'F&amp;B Admin'!F114</f>
        <v>0</v>
      </c>
      <c r="G197" s="63">
        <f>'Lobby Lounge'!G157+'Fangfei Lounge'!G157+'Royal Court'!G157+'MP Cafe'!G157+'Pingju Zhuhai'!G157+'Room Service'!G157+Banquet!G158+STW!G115+'Main Kitchen'!G116+'F&amp;B Admin'!G114</f>
        <v>0</v>
      </c>
      <c r="H197" s="63">
        <f>'Lobby Lounge'!H157+'Fangfei Lounge'!H157+'Royal Court'!H157+'MP Cafe'!H157+'Pingju Zhuhai'!H157+'Room Service'!H157+Banquet!H158+STW!H115+'Main Kitchen'!H116+'F&amp;B Admin'!H114</f>
        <v>0</v>
      </c>
      <c r="I197" s="63">
        <f>'Lobby Lounge'!I157+'Fangfei Lounge'!I157+'Royal Court'!I157+'MP Cafe'!I157+'Pingju Zhuhai'!I157+'Room Service'!I157+Banquet!I158+STW!I115+'Main Kitchen'!I116+'F&amp;B Admin'!I114</f>
        <v>0</v>
      </c>
      <c r="J197" s="63">
        <f>'Lobby Lounge'!J157+'Fangfei Lounge'!J157+'Royal Court'!J157+'MP Cafe'!J157+'Pingju Zhuhai'!J157+'Room Service'!J157+Banquet!J158+STW!J115+'Main Kitchen'!J116+'F&amp;B Admin'!J114</f>
        <v>0</v>
      </c>
      <c r="K197" s="63">
        <f>'Lobby Lounge'!K157+'Fangfei Lounge'!K157+'Royal Court'!K157+'MP Cafe'!K157+'Pingju Zhuhai'!K157+'Room Service'!K157+Banquet!K158+STW!K115+'Main Kitchen'!K116+'F&amp;B Admin'!K114</f>
        <v>0</v>
      </c>
      <c r="L197" s="63">
        <f>'Lobby Lounge'!L157+'Fangfei Lounge'!L157+'Royal Court'!L157+'MP Cafe'!L157+'Pingju Zhuhai'!L157+'Room Service'!L157+Banquet!L158+STW!L115+'Main Kitchen'!L116+'F&amp;B Admin'!L114</f>
        <v>0</v>
      </c>
      <c r="M197" s="63">
        <f>'Lobby Lounge'!M157+'Fangfei Lounge'!M157+'Royal Court'!M157+'MP Cafe'!M157+'Pingju Zhuhai'!M157+'Room Service'!M157+Banquet!M158+STW!M115+'Main Kitchen'!M116+'F&amp;B Admin'!M114</f>
        <v>0</v>
      </c>
      <c r="N197" s="63">
        <f>'Lobby Lounge'!N157+'Fangfei Lounge'!N157+'Royal Court'!N157+'MP Cafe'!N157+'Pingju Zhuhai'!N157+'Room Service'!N157+Banquet!N158+STW!N115+'Main Kitchen'!N116+'F&amp;B Admin'!N114</f>
        <v>0</v>
      </c>
      <c r="O197" s="63">
        <f>'Lobby Lounge'!O157+'Fangfei Lounge'!O157+'Royal Court'!O157+'MP Cafe'!O157+'Pingju Zhuhai'!O157+'Room Service'!O157+Banquet!O158+STW!O115+'Main Kitchen'!O116+'F&amp;B Admin'!O114</f>
        <v>0</v>
      </c>
      <c r="P197" s="63">
        <f>'Lobby Lounge'!P157+'Fangfei Lounge'!P157+'Royal Court'!P157+'MP Cafe'!P157+'Pingju Zhuhai'!P157+'Room Service'!P157+Banquet!P158+STW!P115+'Main Kitchen'!P116+'F&amp;B Admin'!P114</f>
        <v>0</v>
      </c>
      <c r="Q197" s="134">
        <f t="shared" si="49"/>
        <v>0</v>
      </c>
      <c r="R197" s="134">
        <v>0</v>
      </c>
      <c r="U197" s="148">
        <v>0</v>
      </c>
      <c r="V197" s="40"/>
    </row>
    <row r="198" spans="1:29" s="77" customFormat="1" ht="25.4" customHeight="1">
      <c r="A198" s="3" t="s">
        <v>342</v>
      </c>
      <c r="B198" s="3" t="s">
        <v>403</v>
      </c>
      <c r="C198" s="3"/>
      <c r="D198" s="26" t="s">
        <v>343</v>
      </c>
      <c r="E198" s="63">
        <f>'Lobby Lounge'!E158+'Fangfei Lounge'!E158+'Royal Court'!E158+'MP Cafe'!E158+'Pingju Zhuhai'!E158+'Room Service'!E158+Banquet!E159+STW!E116+'Main Kitchen'!E117+'F&amp;B Admin'!E115</f>
        <v>0</v>
      </c>
      <c r="F198" s="63">
        <f>'Lobby Lounge'!F158+'Fangfei Lounge'!F158+'Royal Court'!F158+'MP Cafe'!F158+'Pingju Zhuhai'!F158+'Room Service'!F158+Banquet!F159+STW!F116+'Main Kitchen'!F117+'F&amp;B Admin'!F115</f>
        <v>0</v>
      </c>
      <c r="G198" s="63">
        <f>'Lobby Lounge'!G158+'Fangfei Lounge'!G158+'Royal Court'!G158+'MP Cafe'!G158+'Pingju Zhuhai'!G158+'Room Service'!G158+Banquet!G159+STW!G116+'Main Kitchen'!G117+'F&amp;B Admin'!G115</f>
        <v>0</v>
      </c>
      <c r="H198" s="63">
        <f>'Lobby Lounge'!H158+'Fangfei Lounge'!H158+'Royal Court'!H158+'MP Cafe'!H158+'Pingju Zhuhai'!H158+'Room Service'!H158+Banquet!H159+STW!H116+'Main Kitchen'!H117+'F&amp;B Admin'!H115</f>
        <v>0</v>
      </c>
      <c r="I198" s="63">
        <f>'Lobby Lounge'!I158+'Fangfei Lounge'!I158+'Royal Court'!I158+'MP Cafe'!I158+'Pingju Zhuhai'!I158+'Room Service'!I158+Banquet!I159+STW!I116+'Main Kitchen'!I117+'F&amp;B Admin'!I115</f>
        <v>0</v>
      </c>
      <c r="J198" s="63">
        <f>'Lobby Lounge'!J158+'Fangfei Lounge'!J158+'Royal Court'!J158+'MP Cafe'!J158+'Pingju Zhuhai'!J158+'Room Service'!J158+Banquet!J159+STW!J116+'Main Kitchen'!J117+'F&amp;B Admin'!J115</f>
        <v>0</v>
      </c>
      <c r="K198" s="63">
        <f>'Lobby Lounge'!K158+'Fangfei Lounge'!K158+'Royal Court'!K158+'MP Cafe'!K158+'Pingju Zhuhai'!K158+'Room Service'!K158+Banquet!K159+STW!K116+'Main Kitchen'!K117+'F&amp;B Admin'!K115</f>
        <v>0</v>
      </c>
      <c r="L198" s="63">
        <f>'Lobby Lounge'!L158+'Fangfei Lounge'!L158+'Royal Court'!L158+'MP Cafe'!L158+'Pingju Zhuhai'!L158+'Room Service'!L158+Banquet!L159+STW!L116+'Main Kitchen'!L117+'F&amp;B Admin'!L115</f>
        <v>0</v>
      </c>
      <c r="M198" s="63">
        <f>'Lobby Lounge'!M158+'Fangfei Lounge'!M158+'Royal Court'!M158+'MP Cafe'!M158+'Pingju Zhuhai'!M158+'Room Service'!M158+Banquet!M159+STW!M116+'Main Kitchen'!M117+'F&amp;B Admin'!M115</f>
        <v>0</v>
      </c>
      <c r="N198" s="63">
        <f>'Lobby Lounge'!N158+'Fangfei Lounge'!N158+'Royal Court'!N158+'MP Cafe'!N158+'Pingju Zhuhai'!N158+'Room Service'!N158+Banquet!N159+STW!N116+'Main Kitchen'!N117+'F&amp;B Admin'!N115</f>
        <v>0</v>
      </c>
      <c r="O198" s="63">
        <f>'Lobby Lounge'!O158+'Fangfei Lounge'!O158+'Royal Court'!O158+'MP Cafe'!O158+'Pingju Zhuhai'!O158+'Room Service'!O158+Banquet!O159+STW!O116+'Main Kitchen'!O117+'F&amp;B Admin'!O115</f>
        <v>0</v>
      </c>
      <c r="P198" s="63">
        <f>'Lobby Lounge'!P158+'Fangfei Lounge'!P158+'Royal Court'!P158+'MP Cafe'!P158+'Pingju Zhuhai'!P158+'Room Service'!P158+Banquet!P159+STW!P116+'Main Kitchen'!P117+'F&amp;B Admin'!P115</f>
        <v>0</v>
      </c>
      <c r="Q198" s="134">
        <f t="shared" si="49"/>
        <v>0</v>
      </c>
      <c r="R198" s="134">
        <v>0</v>
      </c>
      <c r="U198" s="148">
        <v>0</v>
      </c>
      <c r="V198" s="40"/>
    </row>
    <row r="199" spans="1:29" s="77" customFormat="1" ht="25.4" customHeight="1">
      <c r="A199" s="3" t="s">
        <v>344</v>
      </c>
      <c r="B199" s="3" t="s">
        <v>403</v>
      </c>
      <c r="C199" s="3"/>
      <c r="D199" s="26" t="s">
        <v>345</v>
      </c>
      <c r="E199" s="63">
        <f>'Lobby Lounge'!E159+'Fangfei Lounge'!E159+'Royal Court'!E159+'MP Cafe'!E159+'Pingju Zhuhai'!E159+'Room Service'!E159+Banquet!E160+STW!E117+'Main Kitchen'!E118+'F&amp;B Admin'!E116</f>
        <v>6960</v>
      </c>
      <c r="F199" s="63">
        <f>'Lobby Lounge'!F159+'Fangfei Lounge'!F159+'Royal Court'!F159+'MP Cafe'!F159+'Pingju Zhuhai'!F159+'Room Service'!F159+Banquet!F160+STW!F117+'Main Kitchen'!F118+'F&amp;B Admin'!F116</f>
        <v>9279.99</v>
      </c>
      <c r="G199" s="63">
        <f>'Lobby Lounge'!G159+'Fangfei Lounge'!G159+'Royal Court'!G159+'MP Cafe'!G159+'Pingju Zhuhai'!G159+'Room Service'!G159+Banquet!G160+STW!G117+'Main Kitchen'!G118+'F&amp;B Admin'!G116</f>
        <v>7020</v>
      </c>
      <c r="H199" s="63">
        <f>'Lobby Lounge'!H159+'Fangfei Lounge'!H159+'Royal Court'!H159+'MP Cafe'!H159+'Pingju Zhuhai'!H159+'Room Service'!H159+Banquet!H160+STW!H117+'Main Kitchen'!H118+'F&amp;B Admin'!H116</f>
        <v>7019.99</v>
      </c>
      <c r="I199" s="63">
        <f>'Lobby Lounge'!I159+'Fangfei Lounge'!I159+'Royal Court'!I159+'MP Cafe'!I159+'Pingju Zhuhai'!I159+'Room Service'!I159+Banquet!I160+STW!I117+'Main Kitchen'!I118+'F&amp;B Admin'!I116</f>
        <v>7440</v>
      </c>
      <c r="J199" s="63">
        <f>'Lobby Lounge'!J159+'Fangfei Lounge'!J159+'Royal Court'!J159+'MP Cafe'!J159+'Pingju Zhuhai'!J159+'Room Service'!J159+Banquet!J160+STW!J117+'Main Kitchen'!J118+'F&amp;B Admin'!J116</f>
        <v>7679.9900000000007</v>
      </c>
      <c r="K199" s="63">
        <f>'Lobby Lounge'!K159+'Fangfei Lounge'!K159+'Royal Court'!K159+'MP Cafe'!K159+'Pingju Zhuhai'!K159+'Room Service'!K159+Banquet!K160+STW!K117+'Main Kitchen'!K118+'F&amp;B Admin'!K116</f>
        <v>7920</v>
      </c>
      <c r="L199" s="63">
        <f>'Lobby Lounge'!L159+'Fangfei Lounge'!L159+'Royal Court'!L159+'MP Cafe'!L159+'Pingju Zhuhai'!L159+'Room Service'!L159+Banquet!L160+STW!L117+'Main Kitchen'!L118+'F&amp;B Admin'!L116</f>
        <v>7920.01</v>
      </c>
      <c r="M199" s="63">
        <f>'Lobby Lounge'!M159+'Fangfei Lounge'!M159+'Royal Court'!M159+'MP Cafe'!M159+'Pingju Zhuhai'!M159+'Room Service'!M159+Banquet!M160+STW!M117+'Main Kitchen'!M118+'F&amp;B Admin'!M116</f>
        <v>8039.9999999999991</v>
      </c>
      <c r="N199" s="63">
        <f>'Lobby Lounge'!N159+'Fangfei Lounge'!N159+'Royal Court'!N159+'MP Cafe'!N159+'Pingju Zhuhai'!N159+'Room Service'!N159+Banquet!N160+STW!N117+'Main Kitchen'!N118+'F&amp;B Admin'!N116</f>
        <v>8160</v>
      </c>
      <c r="O199" s="63">
        <f>'Lobby Lounge'!O159+'Fangfei Lounge'!O159+'Royal Court'!O159+'MP Cafe'!O159+'Pingju Zhuhai'!O159+'Room Service'!O159+Banquet!O160+STW!O117+'Main Kitchen'!O118+'F&amp;B Admin'!O116</f>
        <v>8220</v>
      </c>
      <c r="P199" s="63">
        <f>'Lobby Lounge'!P159+'Fangfei Lounge'!P159+'Royal Court'!P159+'MP Cafe'!P159+'Pingju Zhuhai'!P159+'Room Service'!P159+Banquet!P160+STW!P117+'Main Kitchen'!P118+'F&amp;B Admin'!P116</f>
        <v>8279.99</v>
      </c>
      <c r="Q199" s="134">
        <f t="shared" si="49"/>
        <v>93939.97</v>
      </c>
      <c r="R199" s="134">
        <v>429519.64</v>
      </c>
      <c r="S199" s="134">
        <f>Q199/$Q$148</f>
        <v>0.72492935139097892</v>
      </c>
      <c r="U199" s="148">
        <v>174025.91</v>
      </c>
      <c r="V199" s="40">
        <f>-IF(Q199-U199=0,0,(Q199-U199)/U199)</f>
        <v>0.46019549617640271</v>
      </c>
      <c r="W199" s="77">
        <f>+'F&amp;B Admin'!Q116</f>
        <v>2220</v>
      </c>
      <c r="X199" s="77" t="s">
        <v>1217</v>
      </c>
      <c r="Y199" s="77">
        <f>+'F&amp;B Admin'!Q118</f>
        <v>12176.46</v>
      </c>
      <c r="Z199" s="77">
        <v>119</v>
      </c>
    </row>
    <row r="200" spans="1:29" s="77" customFormat="1" ht="25.4" customHeight="1">
      <c r="A200" s="3" t="s">
        <v>346</v>
      </c>
      <c r="B200" s="3" t="s">
        <v>403</v>
      </c>
      <c r="C200" s="3"/>
      <c r="D200" s="26" t="s">
        <v>347</v>
      </c>
      <c r="E200" s="63">
        <f>'Lobby Lounge'!E160+'Fangfei Lounge'!E160+'Royal Court'!E160+'MP Cafe'!E160+'Pingju Zhuhai'!E160+'Room Service'!E160+Banquet!E161+STW!E119+'Main Kitchen'!E120+'F&amp;B Admin'!E118</f>
        <v>41264.679999999993</v>
      </c>
      <c r="F200" s="63">
        <f>'Lobby Lounge'!F160+'Fangfei Lounge'!F160+'Royal Court'!F160+'MP Cafe'!F160+'Pingju Zhuhai'!F160+'Room Service'!F160+Banquet!F161+STW!F119+'Main Kitchen'!F120+'F&amp;B Admin'!F118</f>
        <v>41102.279999999992</v>
      </c>
      <c r="G200" s="63">
        <f>'Lobby Lounge'!G160+'Fangfei Lounge'!G160+'Royal Court'!G160+'MP Cafe'!G160+'Pingju Zhuhai'!G160+'Room Service'!G160+Banquet!G161+STW!G119+'Main Kitchen'!G120+'F&amp;B Admin'!G118</f>
        <v>41293.979999999996</v>
      </c>
      <c r="H200" s="63">
        <f>'Lobby Lounge'!H160+'Fangfei Lounge'!H160+'Royal Court'!H160+'MP Cafe'!H160+'Pingju Zhuhai'!H160+'Room Service'!H160+Banquet!H161+STW!H119+'Main Kitchen'!H120+'F&amp;B Admin'!H118</f>
        <v>41132.53</v>
      </c>
      <c r="I200" s="63">
        <f>'Lobby Lounge'!I160+'Fangfei Lounge'!I160+'Royal Court'!I160+'MP Cafe'!I160+'Pingju Zhuhai'!I160+'Room Service'!I160+Banquet!I161+STW!I119+'Main Kitchen'!I120+'F&amp;B Admin'!I118</f>
        <v>42434.039999999986</v>
      </c>
      <c r="J200" s="63">
        <f>'Lobby Lounge'!J160+'Fangfei Lounge'!J160+'Royal Court'!J160+'MP Cafe'!J160+'Pingju Zhuhai'!J160+'Room Service'!J160+Banquet!J161+STW!J119+'Main Kitchen'!J120+'F&amp;B Admin'!J118</f>
        <v>43146.239999999991</v>
      </c>
      <c r="K200" s="63">
        <f>'Lobby Lounge'!K160+'Fangfei Lounge'!K160+'Royal Court'!K160+'MP Cafe'!K160+'Pingju Zhuhai'!K160+'Room Service'!K160+Banquet!K161+STW!K119+'Main Kitchen'!K120+'F&amp;B Admin'!K118</f>
        <v>43676.159999999989</v>
      </c>
      <c r="L200" s="63">
        <f>'Lobby Lounge'!L160+'Fangfei Lounge'!L160+'Royal Court'!L160+'MP Cafe'!L160+'Pingju Zhuhai'!L160+'Room Service'!L160+Banquet!L161+STW!L119+'Main Kitchen'!L120+'F&amp;B Admin'!L118</f>
        <v>43676.169999999991</v>
      </c>
      <c r="M200" s="63">
        <f>'Lobby Lounge'!M160+'Fangfei Lounge'!M160+'Royal Court'!M160+'MP Cafe'!M160+'Pingju Zhuhai'!M160+'Room Service'!M160+Banquet!M161+STW!M119+'Main Kitchen'!M120+'F&amp;B Admin'!M118</f>
        <v>44014.98</v>
      </c>
      <c r="N200" s="63">
        <f>'Lobby Lounge'!N160+'Fangfei Lounge'!N160+'Royal Court'!N160+'MP Cafe'!N160+'Pingju Zhuhai'!N160+'Room Service'!N160+Banquet!N161+STW!N119+'Main Kitchen'!N120+'F&amp;B Admin'!N118</f>
        <v>44348.25</v>
      </c>
      <c r="O200" s="63">
        <f>'Lobby Lounge'!O160+'Fangfei Lounge'!O160+'Royal Court'!O160+'MP Cafe'!O160+'Pingju Zhuhai'!O160+'Room Service'!O160+Banquet!O161+STW!O119+'Main Kitchen'!O120+'F&amp;B Admin'!O118</f>
        <v>44512.67</v>
      </c>
      <c r="P200" s="63">
        <f>'Lobby Lounge'!P160+'Fangfei Lounge'!P160+'Royal Court'!P160+'MP Cafe'!P160+'Pingju Zhuhai'!P160+'Room Service'!P160+Banquet!P161+STW!P119+'Main Kitchen'!P120+'F&amp;B Admin'!P118</f>
        <v>44676.13</v>
      </c>
      <c r="Q200" s="134">
        <f t="shared" si="49"/>
        <v>515278.10999999987</v>
      </c>
      <c r="R200" s="134">
        <v>66313.95</v>
      </c>
      <c r="S200" s="134">
        <f>Q200/$Q$148</f>
        <v>3.9763715707836544</v>
      </c>
      <c r="U200" s="148">
        <v>419651.61</v>
      </c>
      <c r="V200" s="40">
        <f t="shared" ref="V200:V203" si="50">-IF(Q200-U200=0,0,(Q200-U200)/U200)</f>
        <v>-0.22787116198600998</v>
      </c>
      <c r="W200" s="77">
        <f>+'Fangfei Lounge'!Q159</f>
        <v>26540</v>
      </c>
      <c r="X200" s="77" t="s">
        <v>1218</v>
      </c>
      <c r="Y200" s="77">
        <f>+'Fangfei Lounge'!Q160</f>
        <v>145554.67999999996</v>
      </c>
      <c r="Z200" s="77">
        <v>160</v>
      </c>
    </row>
    <row r="201" spans="1:29" s="77" customFormat="1" ht="25.4" customHeight="1">
      <c r="A201" s="3" t="s">
        <v>348</v>
      </c>
      <c r="B201" s="3" t="s">
        <v>403</v>
      </c>
      <c r="C201" s="3"/>
      <c r="D201" s="26" t="s">
        <v>349</v>
      </c>
      <c r="E201" s="63">
        <f>'Lobby Lounge'!E161+'Fangfei Lounge'!E161+'Royal Court'!E161+'MP Cafe'!E161+'Pingju Zhuhai'!E161+'Room Service'!E161+Banquet!E162+STW!E120+'Main Kitchen'!E121+'F&amp;B Admin'!E119</f>
        <v>122177</v>
      </c>
      <c r="F201" s="63">
        <f>'Lobby Lounge'!F161+'Fangfei Lounge'!F161+'Royal Court'!F161+'MP Cafe'!F161+'Pingju Zhuhai'!F161+'Room Service'!F161+Banquet!F162+STW!F120+'Main Kitchen'!F121+'F&amp;B Admin'!F119</f>
        <v>120163.24999999999</v>
      </c>
      <c r="G201" s="63">
        <f>'Lobby Lounge'!G161+'Fangfei Lounge'!G161+'Royal Court'!G161+'MP Cafe'!G161+'Pingju Zhuhai'!G161+'Room Service'!G161+Banquet!G162+STW!G120+'Main Kitchen'!G121+'F&amp;B Admin'!G119</f>
        <v>119616.11000000002</v>
      </c>
      <c r="H201" s="63">
        <f>'Lobby Lounge'!H161+'Fangfei Lounge'!H161+'Royal Court'!H161+'MP Cafe'!H161+'Pingju Zhuhai'!H161+'Room Service'!H161+Banquet!H162+STW!H120+'Main Kitchen'!H121+'F&amp;B Admin'!H119</f>
        <v>120156.65999999999</v>
      </c>
      <c r="I201" s="63">
        <f>'Lobby Lounge'!I161+'Fangfei Lounge'!I161+'Royal Court'!I161+'MP Cafe'!I161+'Pingju Zhuhai'!I161+'Room Service'!I161+Banquet!I162+STW!I120+'Main Kitchen'!I121+'F&amp;B Admin'!I119</f>
        <v>124765.07999999996</v>
      </c>
      <c r="J201" s="63">
        <f>'Lobby Lounge'!J161+'Fangfei Lounge'!J161+'Royal Court'!J161+'MP Cafe'!J161+'Pingju Zhuhai'!J161+'Room Service'!J161+Banquet!J162+STW!J120+'Main Kitchen'!J121+'F&amp;B Admin'!J119</f>
        <v>126542.08000000003</v>
      </c>
      <c r="K201" s="63">
        <f>'Lobby Lounge'!K161+'Fangfei Lounge'!K161+'Royal Court'!K161+'MP Cafe'!K161+'Pingju Zhuhai'!K161+'Room Service'!K161+Banquet!K162+STW!K120+'Main Kitchen'!K121+'F&amp;B Admin'!K119</f>
        <v>129443.15999999999</v>
      </c>
      <c r="L201" s="63">
        <f>'Lobby Lounge'!L161+'Fangfei Lounge'!L161+'Royal Court'!L161+'MP Cafe'!L161+'Pingju Zhuhai'!L161+'Room Service'!L161+Banquet!L162+STW!L120+'Main Kitchen'!L121+'F&amp;B Admin'!L119</f>
        <v>129679.42999999995</v>
      </c>
      <c r="M201" s="63">
        <f>'Lobby Lounge'!M161+'Fangfei Lounge'!M161+'Royal Court'!M161+'MP Cafe'!M161+'Pingju Zhuhai'!M161+'Room Service'!M161+Banquet!M162+STW!M120+'Main Kitchen'!M121+'F&amp;B Admin'!M119</f>
        <v>132177.61000000002</v>
      </c>
      <c r="N201" s="63">
        <f>'Lobby Lounge'!N161+'Fangfei Lounge'!N161+'Royal Court'!N161+'MP Cafe'!N161+'Pingju Zhuhai'!N161+'Room Service'!N161+Banquet!N162+STW!N120+'Main Kitchen'!N121+'F&amp;B Admin'!N119</f>
        <v>135144.54999999996</v>
      </c>
      <c r="O201" s="63">
        <f>'Lobby Lounge'!O161+'Fangfei Lounge'!O161+'Royal Court'!O161+'MP Cafe'!O161+'Pingju Zhuhai'!O161+'Room Service'!O161+Banquet!O162+STW!O120+'Main Kitchen'!O121+'F&amp;B Admin'!O119</f>
        <v>134476.46000000002</v>
      </c>
      <c r="P201" s="63">
        <f>'Lobby Lounge'!P161+'Fangfei Lounge'!P161+'Royal Court'!P161+'MP Cafe'!P161+'Pingju Zhuhai'!P161+'Room Service'!P161+Banquet!P162+STW!P120+'Main Kitchen'!P121+'F&amp;B Admin'!P119</f>
        <v>135021.98999999993</v>
      </c>
      <c r="Q201" s="134">
        <f t="shared" si="49"/>
        <v>1529363.38</v>
      </c>
      <c r="R201" s="134">
        <v>1397064</v>
      </c>
      <c r="S201" s="134">
        <f>Q201/$Q$148</f>
        <v>11.802009337500481</v>
      </c>
      <c r="U201" s="148">
        <v>2117170.2187999999</v>
      </c>
      <c r="V201" s="40">
        <f t="shared" si="50"/>
        <v>0.27763796863398427</v>
      </c>
      <c r="W201" s="77">
        <f>+'Royal Court'!Q159</f>
        <v>25906.860000000004</v>
      </c>
      <c r="X201" s="77" t="s">
        <v>1219</v>
      </c>
      <c r="Y201" s="77">
        <f>+'Royal Court'!Q160</f>
        <v>141428.08000000002</v>
      </c>
      <c r="Z201" s="77">
        <v>160</v>
      </c>
    </row>
    <row r="202" spans="1:29" s="77" customFormat="1" ht="25.4" customHeight="1">
      <c r="A202" s="3"/>
      <c r="B202" s="3"/>
      <c r="C202" s="3"/>
      <c r="D202" s="19" t="s">
        <v>350</v>
      </c>
      <c r="E202" s="151">
        <f>SUM(E195:E201)</f>
        <v>170401.68</v>
      </c>
      <c r="F202" s="151">
        <f t="shared" ref="F202:Q202" si="51">SUM(F195:F201)</f>
        <v>170545.51999999996</v>
      </c>
      <c r="G202" s="151">
        <f t="shared" si="51"/>
        <v>167930.09000000003</v>
      </c>
      <c r="H202" s="151">
        <f t="shared" si="51"/>
        <v>168309.18</v>
      </c>
      <c r="I202" s="151">
        <f t="shared" si="51"/>
        <v>174639.11999999994</v>
      </c>
      <c r="J202" s="151">
        <f t="shared" si="51"/>
        <v>177368.31000000003</v>
      </c>
      <c r="K202" s="151">
        <f t="shared" si="51"/>
        <v>181039.31999999998</v>
      </c>
      <c r="L202" s="151">
        <f t="shared" si="51"/>
        <v>181275.60999999993</v>
      </c>
      <c r="M202" s="151">
        <f t="shared" si="51"/>
        <v>184232.59000000003</v>
      </c>
      <c r="N202" s="151">
        <f t="shared" si="51"/>
        <v>187652.79999999996</v>
      </c>
      <c r="O202" s="151">
        <f t="shared" si="51"/>
        <v>187209.13</v>
      </c>
      <c r="P202" s="151">
        <f t="shared" si="51"/>
        <v>187978.10999999993</v>
      </c>
      <c r="Q202" s="151">
        <f t="shared" si="51"/>
        <v>2138581.46</v>
      </c>
      <c r="R202" s="151">
        <v>1892897.59</v>
      </c>
      <c r="S202" s="134">
        <f>Q202/$Q$148</f>
        <v>16.503310259675118</v>
      </c>
      <c r="U202" s="148">
        <v>2710847.7387999999</v>
      </c>
      <c r="V202" s="40">
        <f t="shared" si="50"/>
        <v>0.21110233179430535</v>
      </c>
      <c r="W202" s="77">
        <f>+'Pingju Zhuhai'!Q159</f>
        <v>19198.11</v>
      </c>
      <c r="X202" s="77" t="s">
        <v>1220</v>
      </c>
      <c r="Y202" s="77">
        <f>+'Pingju Zhuhai'!Q160</f>
        <v>104841.57000000002</v>
      </c>
      <c r="Z202" s="77">
        <v>160</v>
      </c>
    </row>
    <row r="203" spans="1:29" s="77" customFormat="1" ht="25.4" customHeight="1">
      <c r="A203" s="3"/>
      <c r="B203" s="3"/>
      <c r="C203" s="3"/>
      <c r="D203" s="19" t="s">
        <v>351</v>
      </c>
      <c r="E203" s="151">
        <f>E174+E183+E193+E202</f>
        <v>1362520.39</v>
      </c>
      <c r="F203" s="151">
        <f t="shared" ref="F203:Q203" si="52">F174+F183+F193+F202</f>
        <v>1182782.58</v>
      </c>
      <c r="G203" s="151">
        <f t="shared" si="52"/>
        <v>1233159.9000000001</v>
      </c>
      <c r="H203" s="151">
        <f t="shared" si="52"/>
        <v>1278210.74</v>
      </c>
      <c r="I203" s="151">
        <f t="shared" si="52"/>
        <v>1386113.21</v>
      </c>
      <c r="J203" s="151">
        <f t="shared" si="52"/>
        <v>1330303.1499999999</v>
      </c>
      <c r="K203" s="151">
        <f t="shared" si="52"/>
        <v>1356873.45</v>
      </c>
      <c r="L203" s="151">
        <f t="shared" si="52"/>
        <v>1347680.7299999997</v>
      </c>
      <c r="M203" s="151">
        <f t="shared" si="52"/>
        <v>1349588.47</v>
      </c>
      <c r="N203" s="151">
        <f t="shared" si="52"/>
        <v>1573753.07</v>
      </c>
      <c r="O203" s="151">
        <f t="shared" si="52"/>
        <v>1438133.15</v>
      </c>
      <c r="P203" s="151">
        <f t="shared" si="52"/>
        <v>1450210.74</v>
      </c>
      <c r="Q203" s="151">
        <f t="shared" si="52"/>
        <v>16289329.580000002</v>
      </c>
      <c r="R203" s="151">
        <v>12177044.41</v>
      </c>
      <c r="S203" s="134">
        <f>Q203/$Q$148</f>
        <v>125.70382050391636</v>
      </c>
      <c r="U203" s="148">
        <v>20053593.717256002</v>
      </c>
      <c r="V203" s="40">
        <f t="shared" si="50"/>
        <v>0.18771020248689255</v>
      </c>
      <c r="W203" s="77">
        <f>+Banquet!Q160</f>
        <v>14895.000000000002</v>
      </c>
      <c r="X203" s="77" t="s">
        <v>1221</v>
      </c>
      <c r="Y203" s="77">
        <f>+Banquet!Q161</f>
        <v>82865.579999999987</v>
      </c>
      <c r="Z203" s="77">
        <v>161</v>
      </c>
      <c r="AC203" s="77">
        <v>16289329.579999998</v>
      </c>
    </row>
    <row r="204" spans="1:29" s="42" customFormat="1" ht="25.4" customHeight="1">
      <c r="Q204" s="42">
        <f>Q203-Q182-Q181</f>
        <v>14757686.000000002</v>
      </c>
      <c r="U204" s="148"/>
      <c r="V204" s="40"/>
      <c r="W204" s="42">
        <f>+'Room Service'!Q159</f>
        <v>2220</v>
      </c>
      <c r="X204" s="42" t="s">
        <v>1222</v>
      </c>
      <c r="Y204" s="42">
        <f>+'Room Service'!Q160</f>
        <v>12176.46</v>
      </c>
      <c r="Z204" s="42">
        <v>160</v>
      </c>
      <c r="AC204" s="42">
        <f>+Q203-AC203</f>
        <v>0</v>
      </c>
    </row>
    <row r="205" spans="1:29" s="170" customFormat="1" ht="25.4" customHeight="1">
      <c r="A205" s="19" t="s">
        <v>108</v>
      </c>
      <c r="B205" s="19" t="s">
        <v>403</v>
      </c>
      <c r="C205" s="19"/>
      <c r="D205" s="19" t="s">
        <v>354</v>
      </c>
      <c r="E205" s="398">
        <f>'Lobby Lounge'!E165+'Fangfei Lounge'!E165+'Royal Court'!E165+'MP Cafe'!E165+'Pingju Zhuhai'!E165+'Room Service'!E165+Banquet!E166+STW!E124+'Main Kitchen'!E125+'F&amp;B Admin'!E123</f>
        <v>133</v>
      </c>
      <c r="F205" s="398">
        <f>'Lobby Lounge'!F165+'Fangfei Lounge'!F165+'Royal Court'!F165+'MP Cafe'!F165+'Pingju Zhuhai'!F165+'Room Service'!F165+Banquet!F166+STW!F124+'Main Kitchen'!F125+'F&amp;B Admin'!F123</f>
        <v>129</v>
      </c>
      <c r="G205" s="398">
        <f>'Lobby Lounge'!G165+'Fangfei Lounge'!G165+'Royal Court'!G165+'MP Cafe'!G165+'Pingju Zhuhai'!G165+'Room Service'!G165+Banquet!G166+STW!G124+'Main Kitchen'!G125+'F&amp;B Admin'!G123</f>
        <v>137</v>
      </c>
      <c r="H205" s="398">
        <f>'Lobby Lounge'!H165+'Fangfei Lounge'!H165+'Royal Court'!H165+'MP Cafe'!H165+'Pingju Zhuhai'!H165+'Room Service'!H165+Banquet!H166+STW!H124+'Main Kitchen'!H125+'F&amp;B Admin'!H123</f>
        <v>137</v>
      </c>
      <c r="I205" s="398">
        <f>'Lobby Lounge'!I165+'Fangfei Lounge'!I165+'Royal Court'!I165+'MP Cafe'!I165+'Pingju Zhuhai'!I165+'Room Service'!I165+Banquet!I166+STW!I124+'Main Kitchen'!I125+'F&amp;B Admin'!I123</f>
        <v>146</v>
      </c>
      <c r="J205" s="398">
        <f>'Lobby Lounge'!J165+'Fangfei Lounge'!J165+'Royal Court'!J165+'MP Cafe'!J165+'Pingju Zhuhai'!J165+'Room Service'!J165+Banquet!J166+STW!J124+'Main Kitchen'!J125+'F&amp;B Admin'!J123</f>
        <v>149</v>
      </c>
      <c r="K205" s="398">
        <f>'Lobby Lounge'!K165+'Fangfei Lounge'!K165+'Royal Court'!K165+'MP Cafe'!K165+'Pingju Zhuhai'!K165+'Room Service'!K165+Banquet!K166+STW!K124+'Main Kitchen'!K125+'F&amp;B Admin'!K123</f>
        <v>152</v>
      </c>
      <c r="L205" s="398">
        <f>'Lobby Lounge'!L165+'Fangfei Lounge'!L165+'Royal Court'!L165+'MP Cafe'!L165+'Pingju Zhuhai'!L165+'Room Service'!L165+Banquet!L166+STW!L124+'Main Kitchen'!L125+'F&amp;B Admin'!L123</f>
        <v>150</v>
      </c>
      <c r="M205" s="398">
        <f>'Lobby Lounge'!M165+'Fangfei Lounge'!M165+'Royal Court'!M165+'MP Cafe'!M165+'Pingju Zhuhai'!M165+'Room Service'!M165+Banquet!M166+STW!M124+'Main Kitchen'!M125+'F&amp;B Admin'!M123</f>
        <v>149</v>
      </c>
      <c r="N205" s="398">
        <f>'Lobby Lounge'!N165+'Fangfei Lounge'!N165+'Royal Court'!N165+'MP Cafe'!N165+'Pingju Zhuhai'!N165+'Room Service'!N165+Banquet!N166+STW!N124+'Main Kitchen'!N125+'F&amp;B Admin'!N123</f>
        <v>157</v>
      </c>
      <c r="O205" s="398">
        <f>'Lobby Lounge'!O165+'Fangfei Lounge'!O165+'Royal Court'!O165+'MP Cafe'!O165+'Pingju Zhuhai'!O165+'Room Service'!O165+Banquet!O166+STW!O124+'Main Kitchen'!O125+'F&amp;B Admin'!O123</f>
        <v>163</v>
      </c>
      <c r="P205" s="398">
        <f>'Lobby Lounge'!P165+'Fangfei Lounge'!P165+'Royal Court'!P165+'MP Cafe'!P165+'Pingju Zhuhai'!P165+'Room Service'!P165+Banquet!P166+STW!P124+'Main Kitchen'!P125+'F&amp;B Admin'!P123</f>
        <v>167</v>
      </c>
      <c r="Q205" s="157">
        <f>SUM(E205:P205)/12</f>
        <v>147.41666666666666</v>
      </c>
      <c r="R205" s="158">
        <v>153.583333333333</v>
      </c>
      <c r="U205" s="148">
        <v>169.08333333333334</v>
      </c>
      <c r="V205" s="40">
        <f>-IF(Q205-U205=0,0,(Q205-U205)/U205)</f>
        <v>0.12814194184327266</v>
      </c>
      <c r="W205" s="170">
        <f>+STW!Q117</f>
        <v>2960</v>
      </c>
      <c r="X205" s="170" t="s">
        <v>1223</v>
      </c>
      <c r="Y205" s="170">
        <f>+STW!Q119</f>
        <v>16235.279999999999</v>
      </c>
      <c r="Z205" s="170">
        <v>119</v>
      </c>
    </row>
    <row r="206" spans="1:29" ht="26.25" customHeight="1">
      <c r="U206" s="139"/>
      <c r="W206" s="355">
        <f>SUM(W199:W205)</f>
        <v>93939.97</v>
      </c>
      <c r="X206" s="355"/>
      <c r="Y206" s="355">
        <f>SUM(Y199:Y205)</f>
        <v>515278.11</v>
      </c>
    </row>
    <row r="207" spans="1:29" ht="26.25" customHeight="1">
      <c r="J207" s="7"/>
      <c r="K207" s="7"/>
      <c r="L207" s="7"/>
      <c r="M207" s="7"/>
      <c r="N207" s="7"/>
      <c r="O207" s="7"/>
      <c r="P207" s="7"/>
    </row>
    <row r="208" spans="1:29" ht="26.25" customHeight="1">
      <c r="P208" s="231" t="s">
        <v>1060</v>
      </c>
      <c r="Q208" s="232">
        <f>+Q174+Q183</f>
        <v>11432187.310000001</v>
      </c>
    </row>
    <row r="209" spans="16:17" ht="26.25" customHeight="1">
      <c r="P209" s="231" t="s">
        <v>788</v>
      </c>
      <c r="Q209" s="232">
        <f>+Q193+Q202</f>
        <v>4857142.2699999996</v>
      </c>
    </row>
    <row r="210" spans="16:17" ht="26.25" customHeight="1">
      <c r="P210" s="174"/>
      <c r="Q210" s="232">
        <f>SUM(Q208:Q209)-Q203</f>
        <v>0</v>
      </c>
    </row>
  </sheetData>
  <phoneticPr fontId="56" type="noConversion"/>
  <dataValidations count="78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3150.84_x000d__x000a_" sqref="E47:P47">
      <formula1>0</formula1>
      <formula2>300</formula2>
    </dataValidation>
    <dataValidation type="textLength" errorStyle="information" allowBlank="1" showInputMessage="1" showErrorMessage="1" error="XLBVal:6=8858273_x000d__x000a_" sqref="Q17">
      <formula1>0</formula1>
      <formula2>300</formula2>
    </dataValidation>
    <dataValidation type="textLength" errorStyle="information" allowBlank="1" showInputMessage="1" showErrorMessage="1" error="XLBVal:6=13695725_x000d__x000a_" sqref="Q15">
      <formula1>0</formula1>
      <formula2>300</formula2>
    </dataValidation>
    <dataValidation type="textLength" errorStyle="information" allowBlank="1" showInputMessage="1" showErrorMessage="1" error="XLBVal:6=44987.9_x000d__x000a_" sqref="E31:P31">
      <formula1>0</formula1>
      <formula2>300</formula2>
    </dataValidation>
    <dataValidation type="textLength" errorStyle="information" allowBlank="1" showInputMessage="1" showErrorMessage="1" error="XLBVal:6=458670.58_x000d__x000a_" sqref="E12:P12">
      <formula1>0</formula1>
      <formula2>300</formula2>
    </dataValidation>
    <dataValidation type="textLength" errorStyle="information" allowBlank="1" showInputMessage="1" showErrorMessage="1" error="XLBVal:6=1067901.23_x000d__x000a_" sqref="E59:P59">
      <formula1>0</formula1>
      <formula2>300</formula2>
    </dataValidation>
    <dataValidation type="textLength" errorStyle="information" allowBlank="1" showInputMessage="1" showErrorMessage="1" error="XLBVal:5=-331377.43_x000d__x000a_" sqref="I29">
      <formula1>0</formula1>
      <formula2>300</formula2>
    </dataValidation>
    <dataValidation type="textLength" errorStyle="information" allowBlank="1" showInputMessage="1" showErrorMessage="1" error="XLBVal:6=125750_x000d__x000a_" sqref="Q22">
      <formula1>0</formula1>
      <formula2>300</formula2>
    </dataValidation>
    <dataValidation type="textLength" errorStyle="information" allowBlank="1" showInputMessage="1" showErrorMessage="1" error="XLBVal:6=623590.56_x000d__x000a_" sqref="E14:P14">
      <formula1>0</formula1>
      <formula2>300</formula2>
    </dataValidation>
    <dataValidation type="textLength" errorStyle="information" allowBlank="1" showInputMessage="1" showErrorMessage="1" error="XLBVal:6=13068710_x000d__x000a_" sqref="Q18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6=28034847_x000d__x000a_" sqref="Q14">
      <formula1>0</formula1>
      <formula2>300</formula2>
    </dataValidation>
    <dataValidation type="textLength" errorStyle="information" allowBlank="1" showInputMessage="1" showErrorMessage="1" error="XLBVal:6=694785.13_x000d__x000a_" sqref="E53:P53">
      <formula1>0</formula1>
      <formula2>300</formula2>
    </dataValidation>
    <dataValidation type="textLength" errorStyle="information" allowBlank="1" showInputMessage="1" showErrorMessage="1" error="XLBVal:6=8814300_x000d__x000a_" sqref="Q16">
      <formula1>0</formula1>
      <formula2>300</formula2>
    </dataValidation>
    <dataValidation type="textLength" errorStyle="information" allowBlank="1" showInputMessage="1" showErrorMessage="1" error="XLBVal:6=2065340_x000d__x000a_" sqref="Q19">
      <formula1>0</formula1>
      <formula2>300</formula2>
    </dataValidation>
    <dataValidation type="textLength" errorStyle="information" allowBlank="1" showInputMessage="1" showErrorMessage="1" error="XLBVal:6=530000_x000d__x000a_" sqref="Q46">
      <formula1>0</formula1>
      <formula2>300</formula2>
    </dataValidation>
    <dataValidation type="textLength" errorStyle="information" allowBlank="1" showInputMessage="1" showErrorMessage="1" error="XLBVal:6=1179080_x000d__x000a_" sqref="Q20">
      <formula1>0</formula1>
      <formula2>300</formula2>
    </dataValidation>
    <dataValidation type="textLength" errorStyle="information" allowBlank="1" showInputMessage="1" showErrorMessage="1" error="XLBVal:6=645_x000d__x000a_" sqref="E147:P147">
      <formula1>0</formula1>
      <formula2>300</formula2>
    </dataValidation>
    <dataValidation type="textLength" errorStyle="information" allowBlank="1" showInputMessage="1" showErrorMessage="1" error="XLBVal:6=1228913_x000d__x000a_" sqref="Q21">
      <formula1>0</formula1>
      <formula2>300</formula2>
    </dataValidation>
    <dataValidation type="textLength" errorStyle="information" allowBlank="1" showInputMessage="1" showErrorMessage="1" error="XLBVal:6=442064_x000d__x000a_" sqref="Q23">
      <formula1>0</formula1>
      <formula2>300</formula2>
    </dataValidation>
    <dataValidation type="textLength" errorStyle="information" allowBlank="1" showInputMessage="1" showErrorMessage="1" error="XLBVal:6=4423_x000d__x000a_" sqref="E134:P134">
      <formula1>0</formula1>
      <formula2>300</formula2>
    </dataValidation>
    <dataValidation type="textLength" errorStyle="information" allowBlank="1" showInputMessage="1" showErrorMessage="1" error="XLBVal:2=0_x000d__x000a_" sqref="E24:Q24 Q33 E42:Q42 R46 Q47:R47 E56:P56 E58:G58 R59 E130:R130 E148:R148 E171:Q171 P192:Q192 E205:P205 R205 E185:O192 P185:P191 Q55:Q56 R14:R26 R33:R44 R48:R49 R53:R56 R171:R173 R185:R192 Q134:R147 E15:P23 E33:P41 Q62:R129 E176:P182 E172:P173 E137:P145 R176:R182 Q30:R32 Q12:R13 E195:R201">
      <formula1>0</formula1>
      <formula2>300</formula2>
    </dataValidation>
    <dataValidation type="textLength" errorStyle="information" allowBlank="1" showInputMessage="1" showErrorMessage="1" error="XLBVal:6=21065.12_x000d__x000a_" sqref="E54:P54">
      <formula1>0</formula1>
      <formula2>300</formula2>
    </dataValidation>
    <dataValidation type="textLength" errorStyle="information" allowBlank="1" showInputMessage="1" showErrorMessage="1" error="XLBVal:6=108609.64_x000d__x000a_" sqref="E25:P25">
      <formula1>0</formula1>
      <formula2>300</formula2>
    </dataValidation>
    <dataValidation type="textLength" errorStyle="information" allowBlank="1" showInputMessage="1" showErrorMessage="1" error="XLBVal:6=1156536_x000d__x000a_" sqref="Q186">
      <formula1>0</formula1>
      <formula2>300</formula2>
    </dataValidation>
    <dataValidation type="textLength" errorStyle="information" allowBlank="1" showInputMessage="1" showErrorMessage="1" error="XLBVal:6=25196619_x000d__x000a_" sqref="Q53">
      <formula1>0</formula1>
      <formula2>300</formula2>
    </dataValidation>
    <dataValidation type="textLength" errorStyle="information" allowBlank="1" showInputMessage="1" showErrorMessage="1" error="XLBVal:6=1941581_x000d__x000a_" sqref="Q25">
      <formula1>0</formula1>
      <formula2>300</formula2>
    </dataValidation>
    <dataValidation type="textLength" errorStyle="information" allowBlank="1" showInputMessage="1" showErrorMessage="1" sqref="E149:I149 F166:I166 F167:R167 E204:P204 F168:I170 H194:I194 F151:R165 E151:E170">
      <formula1>0</formula1>
      <formula2>300</formula2>
    </dataValidation>
    <dataValidation type="textLength" errorStyle="information" allowBlank="1" showInputMessage="1" showErrorMessage="1" error="XLBVal:6=314032.39_x000d__x000a_" sqref="E26:P26">
      <formula1>0</formula1>
      <formula2>300</formula2>
    </dataValidation>
    <dataValidation type="textLength" errorStyle="information" allowBlank="1" showInputMessage="1" showErrorMessage="1" error="XLBVal:6=2660698_x000d__x000a_" sqref="Q185">
      <formula1>0</formula1>
      <formula2>300</formula2>
    </dataValidation>
    <dataValidation type="textLength" errorStyle="information" allowBlank="1" showInputMessage="1" showErrorMessage="1" error="XLBVal:6=24659.36_x000d__x000a_" sqref="E32:P32">
      <formula1>0</formula1>
      <formula2>300</formula2>
    </dataValidation>
    <dataValidation type="textLength" errorStyle="information" allowBlank="1" showInputMessage="1" showErrorMessage="1" error="XLBVal:6=4127380_x000d__x000a_" sqref="Q26">
      <formula1>0</formula1>
      <formula2>300</formula2>
    </dataValidation>
    <dataValidation type="textLength" errorStyle="information" allowBlank="1" showInputMessage="1" showErrorMessage="1" error="XLBVal:6=761_x000d__x000a_" sqref="E146:P146">
      <formula1>0</formula1>
      <formula2>300</formula2>
    </dataValidation>
    <dataValidation type="textLength" errorStyle="information" allowBlank="1" showInputMessage="1" showErrorMessage="1" error="XLBVal:5=1285238.57_x000d__x000a_" sqref="F27:R27 F28:P28 H29 E45:R45 E57:R57 E27:E29">
      <formula1>0</formula1>
      <formula2>300</formula2>
    </dataValidation>
    <dataValidation type="textLength" errorStyle="information" allowBlank="1" showInputMessage="1" showErrorMessage="1" error="XLBVal:5=0_x000d__x000a_" sqref="F29 H58 F51:F52">
      <formula1>0</formula1>
      <formula2>300</formula2>
    </dataValidation>
    <dataValidation type="textLength" errorStyle="information" allowBlank="1" showInputMessage="1" showErrorMessage="1" error="XLBVal:6=495000_x000d__x000a_" sqref="Q40">
      <formula1>0</formula1>
      <formula2>300</formula2>
    </dataValidation>
    <dataValidation type="textLength" errorStyle="information" allowBlank="1" showInputMessage="1" showErrorMessage="1" error="XLBVal:5=1616616_x000d__x000a_" sqref="G29">
      <formula1>0</formula1>
      <formula2>300</formula2>
    </dataValidation>
    <dataValidation type="textLength" errorStyle="information" allowBlank="1" showInputMessage="1" showErrorMessage="1" error="XLBVal:6=3973_x000d__x000a_" sqref="E135:P135">
      <formula1>0</formula1>
      <formula2>300</formula2>
    </dataValidation>
    <dataValidation type="textLength" errorStyle="information" allowBlank="1" showInputMessage="1" showErrorMessage="1" error="XLBVal:6=8849.95_x000d__x000a_" sqref="E43:P43">
      <formula1>0</formula1>
      <formula2>300</formula2>
    </dataValidation>
    <dataValidation type="textLength" errorStyle="information" allowBlank="1" showInputMessage="1" showErrorMessage="1" error="XLBVal:6=7235.47_x000d__x000a_" sqref="E30:P30">
      <formula1>0</formula1>
      <formula2>300</formula2>
    </dataValidation>
    <dataValidation type="textLength" errorStyle="information" allowBlank="1" showInputMessage="1" showErrorMessage="1" error="XLBVal:6=3797.66_x000d__x000a_" sqref="E55:P55">
      <formula1>0</formula1>
      <formula2>300</formula2>
    </dataValidation>
    <dataValidation type="textLength" errorStyle="information" allowBlank="1" showInputMessage="1" showErrorMessage="1" error="XLBVal:6=976708_x000d__x000a_" sqref="Q54">
      <formula1>0</formula1>
      <formula2>300</formula2>
    </dataValidation>
    <dataValidation type="textLength" errorStyle="information" allowBlank="1" showInputMessage="1" showErrorMessage="1" error="XLBVal:6=120000_x000d__x000a_" sqref="Q38">
      <formula1>0</formula1>
      <formula2>300</formula2>
    </dataValidation>
    <dataValidation type="textLength" errorStyle="information" allowBlank="1" showInputMessage="1" showErrorMessage="1" error="XLBVal:6=31000_x000d__x000a_" sqref="Q37">
      <formula1>0</formula1>
      <formula2>300</formula2>
    </dataValidation>
    <dataValidation type="textLength" errorStyle="information" allowBlank="1" showInputMessage="1" showErrorMessage="1" error="XLBVal:6=527000_x000d__x000a_" sqref="Q34">
      <formula1>0</formula1>
      <formula2>300</formula2>
    </dataValidation>
    <dataValidation type="textLength" errorStyle="information" allowBlank="1" showInputMessage="1" showErrorMessage="1" error="XLBVal:6=3239.86_x000d__x000a_" sqref="E132:R132">
      <formula1>0</formula1>
      <formula2>300</formula2>
    </dataValidation>
    <dataValidation type="textLength" errorStyle="information" allowBlank="1" showInputMessage="1" showErrorMessage="1" error="XLBVal:6=477300_x000d__x000a_" sqref="Q35">
      <formula1>0</formula1>
      <formula2>300</formula2>
    </dataValidation>
    <dataValidation type="textLength" errorStyle="information" allowBlank="1" showInputMessage="1" showErrorMessage="1" error="XLBVal:6=999000_x000d__x000a_" sqref="Q36">
      <formula1>0</formula1>
      <formula2>300</formula2>
    </dataValidation>
    <dataValidation type="textLength" errorStyle="information" allowBlank="1" showInputMessage="1" showErrorMessage="1" error="XLBVal:6=1250000_x000d__x000a_" sqref="Q39">
      <formula1>0</formula1>
      <formula2>300</formula2>
    </dataValidation>
    <dataValidation type="textLength" errorStyle="information" allowBlank="1" showInputMessage="1" showErrorMessage="1" error="XLBVal:6=322000_x000d__x000a_" sqref="Q41">
      <formula1>0</formula1>
      <formula2>300</formula2>
    </dataValidation>
    <dataValidation type="textLength" errorStyle="information" allowBlank="1" showInputMessage="1" showErrorMessage="1" error="XLBVal:6=3678_x000d__x000a_" sqref="E194:G194">
      <formula1>0</formula1>
      <formula2>300</formula2>
    </dataValidation>
    <dataValidation type="textLength" errorStyle="information" allowBlank="1" showInputMessage="1" showErrorMessage="1" error="XLBVal:6=325000_x000d__x000a_" sqref="Q43">
      <formula1>0</formula1>
      <formula2>300</formula2>
    </dataValidation>
    <dataValidation type="textLength" errorStyle="information" allowBlank="1" showInputMessage="1" showErrorMessage="1" error="XLBVal:6=400326_x000d__x000a_" sqref="Q44">
      <formula1>0</formula1>
      <formula2>300</formula2>
    </dataValidation>
    <dataValidation type="textLength" errorStyle="information" allowBlank="1" showInputMessage="1" showErrorMessage="1" error="XLBVal:6=8627.81_x000d__x000a_" sqref="E44:P44">
      <formula1>0</formula1>
      <formula2>300</formula2>
    </dataValidation>
    <dataValidation type="textLength" errorStyle="information" allowBlank="1" showInputMessage="1" showErrorMessage="1" error="XLBVal:6=135079.02_x000d__x000a_" sqref="E46:P46">
      <formula1>0</formula1>
      <formula2>300</formula2>
    </dataValidation>
    <dataValidation type="textLength" errorStyle="information" allowBlank="1" showInputMessage="1" showErrorMessage="1" error="XLBVal:6=58036_x000d__x000a_" sqref="Q188">
      <formula1>0</formula1>
      <formula2>300</formula2>
    </dataValidation>
    <dataValidation type="textLength" errorStyle="information" allowBlank="1" showInputMessage="1" showErrorMessage="1" error="XLBVal:5=15426.66_x000d__x000a_" sqref="I58">
      <formula1>0</formula1>
      <formula2>300</formula2>
    </dataValidation>
    <dataValidation type="textLength" errorStyle="information" allowBlank="1" showInputMessage="1" showErrorMessage="1" error="XLBVal:6=603500_x000d__x000a_" sqref="Q48">
      <formula1>0</formula1>
      <formula2>300</formula2>
    </dataValidation>
    <dataValidation type="textLength" errorStyle="information" allowBlank="1" showInputMessage="1" showErrorMessage="1" error="XLBVal:6=2215012_x000d__x000a_" sqref="Q49">
      <formula1>0</formula1>
      <formula2>300</formula2>
    </dataValidation>
    <dataValidation type="textLength" errorStyle="information" allowBlank="1" showInputMessage="1" showErrorMessage="1" error="XLBVal:6=202115.08_x000d__x000a_" sqref="E50:R50">
      <formula1>0</formula1>
      <formula2>300</formula2>
    </dataValidation>
    <dataValidation type="textLength" errorStyle="information" allowBlank="1" showInputMessage="1" showErrorMessage="1" error="XLBVal:6=674288_x000d__x000a_" sqref="Q190">
      <formula1>0</formula1>
      <formula2>300</formula2>
    </dataValidation>
    <dataValidation type="textLength" errorStyle="information" allowBlank="1" showInputMessage="1" showErrorMessage="1" error="XLBVal:6=30983026_x000d__x000a_" sqref="Q59">
      <formula1>0</formula1>
      <formula2>300</formula2>
    </dataValidation>
    <dataValidation type="textLength" errorStyle="information" allowBlank="1" showInputMessage="1" showErrorMessage="1" error="XLBVal:6=0_x000d__x000a_" sqref="E131:R131">
      <formula1>0</formula1>
      <formula2>300</formula2>
    </dataValidation>
    <dataValidation type="textLength" errorStyle="information" allowBlank="1" showInputMessage="1" showErrorMessage="1" error="XLBVal:6=699_x000d__x000a_" sqref="E136:P136">
      <formula1>0</formula1>
      <formula2>300</formula2>
    </dataValidation>
    <dataValidation type="textLength" errorStyle="information" allowBlank="1" showInputMessage="1" showErrorMessage="1" error="XLBVal:6=10357878_x000d__x000a_" sqref="Q172">
      <formula1>0</formula1>
      <formula2>300</formula2>
    </dataValidation>
    <dataValidation type="textLength" errorStyle="information" allowBlank="1" showInputMessage="1" showErrorMessage="1" error="XLBVal:6=4775842_x000d__x000a_" sqref="Q173">
      <formula1>0</formula1>
      <formula2>300</formula2>
    </dataValidation>
    <dataValidation type="textLength" errorStyle="information" allowBlank="1" showInputMessage="1" showErrorMessage="1" error="XLBVal:6=72410_x000d__x000a_" sqref="Q187 Q189">
      <formula1>0</formula1>
      <formula2>300</formula2>
    </dataValidation>
    <dataValidation type="textLength" errorStyle="information" allowBlank="1" showInputMessage="1" showErrorMessage="1" error="XLBVal:6=466100_x000d__x000a_" sqref="Q191">
      <formula1>0</formula1>
      <formula2>300</formula2>
    </dataValidation>
    <dataValidation type="textLength" errorStyle="information" allowBlank="1" showInputMessage="1" showErrorMessage="1" error="XLBVal:6=3780_x000d__x000a_" sqref="Q205">
      <formula1>0</formula1>
      <formula2>300</formula2>
    </dataValidation>
    <dataValidation type="textLength" errorStyle="information" allowBlank="1" showInputMessage="1" showErrorMessage="1" error="XLBVal:5=2443234.73_x000d__x000a_" sqref="E51:E52 H51:H52">
      <formula1>0</formula1>
      <formula2>300</formula2>
    </dataValidation>
    <dataValidation type="textLength" errorStyle="information" allowBlank="1" showInputMessage="1" showErrorMessage="1" error="XLBVal:6=6688509.16_x000d__x000a_" sqref="E61:P61">
      <formula1>0</formula1>
      <formula2>300</formula2>
    </dataValidation>
    <dataValidation type="textLength" errorStyle="information" allowBlank="1" showInputMessage="1" showErrorMessage="1" error="XLBVal:5=3384188.86_x000d__x000a_" sqref="G51:G52">
      <formula1>0</formula1>
      <formula2>300</formula2>
    </dataValidation>
    <dataValidation type="textLength" errorStyle="information" allowBlank="1" showInputMessage="1" showErrorMessage="1" error="XLBVal:6=995082_x000d__x000a_" sqref="Q176:Q182">
      <formula1>0</formula1>
      <formula2>300</formula2>
    </dataValidation>
    <dataValidation type="textLength" errorStyle="information" allowBlank="1" showInputMessage="1" showErrorMessage="1" error="XLBVal:5=-279047.98_x000d__x000a_" sqref="I51:P52">
      <formula1>0</formula1>
      <formula2>300</formula2>
    </dataValidation>
    <dataValidation type="textLength" errorStyle="information" allowBlank="1" showInputMessage="1" showErrorMessage="1" error="XLBVal:6=38233.14_x000d__x000a_" sqref="E48:P49">
      <formula1>0</formula1>
      <formula2>300</formula2>
    </dataValidation>
    <dataValidation type="textLength" errorStyle="information" allowBlank="1" showInputMessage="1" showErrorMessage="1" error="XLBVal:6=113580_x000d__x000a_" sqref="E62:P129">
      <formula1>0</formula1>
      <formula2>300</formula2>
    </dataValidation>
    <dataValidation type="textLength" errorStyle="information" allowBlank="1" showInputMessage="1" showErrorMessage="1" error="XLBVal:6=467_x000d__x000a_" sqref="P208:P20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6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X123"/>
  <sheetViews>
    <sheetView zoomScale="50" zoomScaleNormal="50" zoomScaleSheetLayoutView="40" workbookViewId="0">
      <pane xSplit="4" ySplit="10" topLeftCell="E11" activePane="bottomRight" state="frozen"/>
      <selection activeCell="D9" sqref="D9"/>
      <selection pane="topRight" activeCell="D9" sqref="D9"/>
      <selection pane="bottomLeft" activeCell="D9" sqref="D9"/>
      <selection pane="bottomRight" activeCell="P79" sqref="P79"/>
    </sheetView>
  </sheetViews>
  <sheetFormatPr defaultColWidth="8.90625" defaultRowHeight="26.25" customHeight="1" outlineLevelRow="1" outlineLevelCol="1"/>
  <cols>
    <col min="1" max="1" width="43" style="5" hidden="1" customWidth="1" outlineLevel="1"/>
    <col min="2" max="3" width="15.453125" style="5" hidden="1" customWidth="1" outlineLevel="1"/>
    <col min="4" max="4" width="60.453125" style="6" customWidth="1" collapsed="1"/>
    <col min="5" max="5" width="22.90625" style="7" customWidth="1"/>
    <col min="6" max="6" width="21.453125" style="7" customWidth="1"/>
    <col min="7" max="9" width="22.453125" style="7" customWidth="1"/>
    <col min="10" max="12" width="22.453125" style="5" customWidth="1"/>
    <col min="13" max="16" width="20.90625" style="5" customWidth="1"/>
    <col min="17" max="17" width="36.453125" style="5" customWidth="1"/>
    <col min="18" max="18" width="12.08984375" style="5" customWidth="1"/>
    <col min="19" max="19" width="22.453125" style="8" hidden="1" customWidth="1"/>
    <col min="20" max="20" width="22.453125" style="5" hidden="1" customWidth="1"/>
    <col min="21" max="21" width="32.36328125" style="5" bestFit="1" customWidth="1"/>
    <col min="22" max="22" width="16.08984375" style="5" bestFit="1" customWidth="1"/>
    <col min="23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S4" s="33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</row>
    <row r="6" spans="1:20" s="2" customFormat="1" ht="25.4" customHeight="1">
      <c r="D6" s="14" t="s">
        <v>662</v>
      </c>
      <c r="E6" s="13"/>
      <c r="F6" s="13"/>
      <c r="G6" s="13"/>
      <c r="H6" s="13"/>
      <c r="I6" s="13"/>
      <c r="S6" s="33"/>
    </row>
    <row r="7" spans="1:20" s="2" customFormat="1" ht="25.4" customHeight="1">
      <c r="D7" s="199">
        <f>Parameter!H4</f>
        <v>2025</v>
      </c>
      <c r="E7" s="13"/>
      <c r="F7" s="13"/>
      <c r="G7" s="13"/>
      <c r="H7" s="13"/>
      <c r="I7" s="13"/>
      <c r="S7" s="33"/>
    </row>
    <row r="8" spans="1:20" ht="25.4" customHeight="1">
      <c r="D8" s="1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D11" s="21"/>
      <c r="E11" s="22"/>
      <c r="F11" s="22"/>
      <c r="G11" s="22"/>
      <c r="H11" s="23"/>
      <c r="I11" s="23"/>
      <c r="S11" s="35"/>
    </row>
    <row r="12" spans="1:20" s="3" customFormat="1" ht="25.4" customHeight="1">
      <c r="A12" s="3" t="s">
        <v>466</v>
      </c>
      <c r="B12" s="3" t="s">
        <v>663</v>
      </c>
      <c r="D12" s="21" t="s">
        <v>139</v>
      </c>
      <c r="E12" s="43">
        <f>+E121</f>
        <v>69489.919999999998</v>
      </c>
      <c r="F12" s="43">
        <f t="shared" ref="F12:P12" si="0">+F121</f>
        <v>67921.23</v>
      </c>
      <c r="G12" s="43">
        <f t="shared" si="0"/>
        <v>67816.47</v>
      </c>
      <c r="H12" s="43">
        <f t="shared" si="0"/>
        <v>68297.91</v>
      </c>
      <c r="I12" s="43">
        <f t="shared" si="0"/>
        <v>68521.919999999998</v>
      </c>
      <c r="J12" s="43">
        <f t="shared" si="0"/>
        <v>67667.64</v>
      </c>
      <c r="K12" s="43">
        <f t="shared" si="0"/>
        <v>67625.100000000006</v>
      </c>
      <c r="L12" s="43">
        <f t="shared" si="0"/>
        <v>67630.47</v>
      </c>
      <c r="M12" s="43">
        <f t="shared" si="0"/>
        <v>67635.179999999993</v>
      </c>
      <c r="N12" s="43">
        <f t="shared" si="0"/>
        <v>69222.38</v>
      </c>
      <c r="O12" s="43">
        <f t="shared" si="0"/>
        <v>67610.039999999994</v>
      </c>
      <c r="P12" s="43">
        <f t="shared" si="0"/>
        <v>67597.09</v>
      </c>
      <c r="Q12" s="43">
        <f>SUM(E12:P12)</f>
        <v>817035.35000000009</v>
      </c>
      <c r="R12" s="39">
        <f>Q12/'F&amp;B Summary'!$Q$50</f>
        <v>2.32678192671592E-2</v>
      </c>
      <c r="S12" s="35"/>
      <c r="T12" s="40" t="e">
        <f>-IF(Q12-S12=0,0,(Q12-S12)/S12)</f>
        <v>#DIV/0!</v>
      </c>
    </row>
    <row r="13" spans="1:20" s="3" customFormat="1" ht="25.4" customHeight="1">
      <c r="D13" s="26"/>
      <c r="E13" s="24"/>
      <c r="F13" s="24"/>
      <c r="G13" s="24"/>
      <c r="H13" s="25"/>
      <c r="I13" s="25"/>
      <c r="S13" s="35"/>
      <c r="T13" s="40"/>
    </row>
    <row r="14" spans="1:20" s="3" customFormat="1" ht="24.75" customHeight="1">
      <c r="D14" s="21" t="s">
        <v>140</v>
      </c>
      <c r="E14" s="24"/>
      <c r="F14" s="24"/>
      <c r="G14" s="24"/>
      <c r="H14" s="25"/>
      <c r="I14" s="25"/>
      <c r="R14" s="34" t="s">
        <v>421</v>
      </c>
      <c r="S14" s="35"/>
      <c r="T14" s="40"/>
    </row>
    <row r="15" spans="1:20" s="3" customFormat="1" ht="25.4" customHeight="1">
      <c r="A15" s="3" t="s">
        <v>468</v>
      </c>
      <c r="B15" s="3" t="s">
        <v>663</v>
      </c>
      <c r="D15" s="26" t="s">
        <v>469</v>
      </c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">
        <f>SUM(E15:P15)</f>
        <v>0</v>
      </c>
      <c r="R15" s="134" t="e">
        <f>#REF!/#REF!</f>
        <v>#REF!</v>
      </c>
      <c r="S15" s="35"/>
      <c r="T15" s="40">
        <f t="shared" ref="T15:T45" si="1">-IF(Q15-S15=0,0,(Q15-S15)/S15)</f>
        <v>0</v>
      </c>
    </row>
    <row r="16" spans="1:20" s="3" customFormat="1" ht="25.4" customHeight="1">
      <c r="A16" s="3" t="s">
        <v>470</v>
      </c>
      <c r="B16" s="3" t="s">
        <v>663</v>
      </c>
      <c r="D16" s="28" t="s">
        <v>471</v>
      </c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">
        <f t="shared" ref="Q16:Q79" si="2">SUM(E16:P16)</f>
        <v>0</v>
      </c>
      <c r="S16" s="35"/>
      <c r="T16" s="40">
        <f t="shared" si="1"/>
        <v>0</v>
      </c>
    </row>
    <row r="17" spans="1:20" s="3" customFormat="1" ht="25.4" customHeight="1">
      <c r="A17" s="3" t="s">
        <v>472</v>
      </c>
      <c r="B17" s="3" t="s">
        <v>663</v>
      </c>
      <c r="D17" s="26" t="s">
        <v>473</v>
      </c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">
        <f t="shared" si="2"/>
        <v>0</v>
      </c>
      <c r="S17" s="35"/>
      <c r="T17" s="40">
        <f t="shared" si="1"/>
        <v>0</v>
      </c>
    </row>
    <row r="18" spans="1:20" s="3" customFormat="1" ht="25.4" customHeight="1">
      <c r="A18" s="3" t="s">
        <v>474</v>
      </c>
      <c r="B18" s="3" t="s">
        <v>663</v>
      </c>
      <c r="D18" s="26" t="s">
        <v>475</v>
      </c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">
        <f t="shared" si="2"/>
        <v>0</v>
      </c>
      <c r="S18" s="35"/>
      <c r="T18" s="40">
        <f t="shared" si="1"/>
        <v>0</v>
      </c>
    </row>
    <row r="19" spans="1:20" s="3" customFormat="1" ht="25.4" customHeight="1">
      <c r="A19" s="3" t="s">
        <v>476</v>
      </c>
      <c r="B19" s="3" t="s">
        <v>663</v>
      </c>
      <c r="D19" s="29" t="s">
        <v>477</v>
      </c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">
        <f t="shared" si="2"/>
        <v>0</v>
      </c>
      <c r="S19" s="35"/>
      <c r="T19" s="40">
        <f t="shared" si="1"/>
        <v>0</v>
      </c>
    </row>
    <row r="20" spans="1:20" s="3" customFormat="1" ht="25.4" customHeight="1">
      <c r="A20" s="3" t="s">
        <v>478</v>
      </c>
      <c r="B20" s="3" t="s">
        <v>663</v>
      </c>
      <c r="D20" s="29" t="s">
        <v>479</v>
      </c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">
        <f t="shared" si="2"/>
        <v>0</v>
      </c>
      <c r="S20" s="35"/>
      <c r="T20" s="40">
        <f t="shared" si="1"/>
        <v>0</v>
      </c>
    </row>
    <row r="21" spans="1:20" s="3" customFormat="1" ht="25.4" customHeight="1">
      <c r="A21" s="3" t="s">
        <v>480</v>
      </c>
      <c r="B21" s="3" t="s">
        <v>663</v>
      </c>
      <c r="D21" s="26" t="s">
        <v>481</v>
      </c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">
        <f t="shared" si="2"/>
        <v>0</v>
      </c>
      <c r="R21" s="3">
        <f>Q21/'F&amp;B Summary'!$Q$148</f>
        <v>0</v>
      </c>
      <c r="S21" s="35"/>
      <c r="T21" s="40">
        <f t="shared" si="1"/>
        <v>0</v>
      </c>
    </row>
    <row r="22" spans="1:20" s="3" customFormat="1" ht="25.4" customHeight="1">
      <c r="A22" s="3" t="s">
        <v>482</v>
      </c>
      <c r="B22" s="3" t="s">
        <v>663</v>
      </c>
      <c r="D22" s="29" t="s">
        <v>483</v>
      </c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">
        <f t="shared" si="2"/>
        <v>0</v>
      </c>
      <c r="S22" s="35"/>
      <c r="T22" s="40">
        <f t="shared" si="1"/>
        <v>0</v>
      </c>
    </row>
    <row r="23" spans="1:20" s="3" customFormat="1" ht="25.4" customHeight="1">
      <c r="A23" s="3" t="s">
        <v>484</v>
      </c>
      <c r="B23" s="3" t="s">
        <v>663</v>
      </c>
      <c r="D23" s="26" t="s">
        <v>485</v>
      </c>
      <c r="E23" s="386">
        <v>50000</v>
      </c>
      <c r="F23" s="386">
        <v>50000</v>
      </c>
      <c r="G23" s="386">
        <v>50000</v>
      </c>
      <c r="H23" s="386">
        <v>50000</v>
      </c>
      <c r="I23" s="386">
        <v>50000</v>
      </c>
      <c r="J23" s="386">
        <v>50000</v>
      </c>
      <c r="K23" s="386">
        <v>50000</v>
      </c>
      <c r="L23" s="386">
        <v>50000</v>
      </c>
      <c r="M23" s="386">
        <v>50000</v>
      </c>
      <c r="N23" s="386">
        <v>50000</v>
      </c>
      <c r="O23" s="386">
        <v>50000</v>
      </c>
      <c r="P23" s="386">
        <v>50000</v>
      </c>
      <c r="Q23" s="3">
        <f t="shared" si="2"/>
        <v>600000</v>
      </c>
      <c r="R23" s="3">
        <f>Q23/'F&amp;B Summary'!$Q$148</f>
        <v>4.6301655284176411</v>
      </c>
      <c r="S23" s="35"/>
      <c r="T23" s="40" t="e">
        <f t="shared" si="1"/>
        <v>#DIV/0!</v>
      </c>
    </row>
    <row r="24" spans="1:20" s="3" customFormat="1" ht="25.4" customHeight="1">
      <c r="A24" s="3" t="s">
        <v>486</v>
      </c>
      <c r="B24" s="3" t="s">
        <v>663</v>
      </c>
      <c r="D24" s="26" t="s">
        <v>487</v>
      </c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">
        <f t="shared" si="2"/>
        <v>0</v>
      </c>
      <c r="S24" s="35"/>
      <c r="T24" s="40">
        <f t="shared" si="1"/>
        <v>0</v>
      </c>
    </row>
    <row r="25" spans="1:20" s="3" customFormat="1" ht="25.4" customHeight="1">
      <c r="A25" s="3" t="s">
        <v>488</v>
      </c>
      <c r="B25" s="3" t="s">
        <v>663</v>
      </c>
      <c r="D25" s="26" t="s">
        <v>489</v>
      </c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">
        <f t="shared" si="2"/>
        <v>0</v>
      </c>
      <c r="S25" s="35"/>
      <c r="T25" s="40">
        <f t="shared" si="1"/>
        <v>0</v>
      </c>
    </row>
    <row r="26" spans="1:20" s="3" customFormat="1" ht="25.4" customHeight="1">
      <c r="A26" s="3" t="s">
        <v>490</v>
      </c>
      <c r="B26" s="3" t="s">
        <v>663</v>
      </c>
      <c r="D26" s="26" t="s">
        <v>491</v>
      </c>
      <c r="E26" s="386">
        <v>2000</v>
      </c>
      <c r="F26" s="386">
        <v>2000</v>
      </c>
      <c r="G26" s="386">
        <v>2000</v>
      </c>
      <c r="H26" s="386">
        <v>2000</v>
      </c>
      <c r="I26" s="386">
        <v>2000</v>
      </c>
      <c r="J26" s="386">
        <v>2000</v>
      </c>
      <c r="K26" s="386">
        <v>2000</v>
      </c>
      <c r="L26" s="386">
        <v>2000</v>
      </c>
      <c r="M26" s="386">
        <v>2000</v>
      </c>
      <c r="N26" s="386">
        <v>2000</v>
      </c>
      <c r="O26" s="386">
        <v>2000</v>
      </c>
      <c r="P26" s="386">
        <v>2000</v>
      </c>
      <c r="Q26" s="3">
        <f t="shared" si="2"/>
        <v>24000</v>
      </c>
      <c r="R26" s="3">
        <f>Q26/'F&amp;B Summary'!$Q$148</f>
        <v>0.18520662113670563</v>
      </c>
      <c r="S26" s="35"/>
      <c r="T26" s="40" t="e">
        <f t="shared" si="1"/>
        <v>#DIV/0!</v>
      </c>
    </row>
    <row r="27" spans="1:20" s="3" customFormat="1" ht="25.4" customHeight="1">
      <c r="A27" s="3" t="s">
        <v>492</v>
      </c>
      <c r="B27" s="3" t="s">
        <v>663</v>
      </c>
      <c r="D27" s="26" t="s">
        <v>493</v>
      </c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">
        <f t="shared" si="2"/>
        <v>0</v>
      </c>
      <c r="R27" s="3">
        <f>Q27/'F&amp;B Summary'!$Q$148</f>
        <v>0</v>
      </c>
      <c r="S27" s="35"/>
      <c r="T27" s="40">
        <f t="shared" si="1"/>
        <v>0</v>
      </c>
    </row>
    <row r="28" spans="1:20" s="3" customFormat="1" ht="25.4" hidden="1" customHeight="1">
      <c r="A28" s="3" t="s">
        <v>494</v>
      </c>
      <c r="B28" s="3" t="s">
        <v>663</v>
      </c>
      <c r="D28" s="26" t="s">
        <v>495</v>
      </c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">
        <f t="shared" si="2"/>
        <v>0</v>
      </c>
      <c r="R28" s="3">
        <f>Q28/'F&amp;B Summary'!$Q$148</f>
        <v>0</v>
      </c>
      <c r="S28" s="35"/>
      <c r="T28" s="40">
        <f t="shared" si="1"/>
        <v>0</v>
      </c>
    </row>
    <row r="29" spans="1:20" s="3" customFormat="1" ht="25.4" hidden="1" customHeight="1">
      <c r="A29" s="3" t="s">
        <v>496</v>
      </c>
      <c r="B29" s="3" t="s">
        <v>663</v>
      </c>
      <c r="D29" s="26" t="s">
        <v>171</v>
      </c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">
        <f t="shared" si="2"/>
        <v>0</v>
      </c>
      <c r="R29" s="3">
        <f>Q29/'F&amp;B Summary'!$Q$148</f>
        <v>0</v>
      </c>
      <c r="S29" s="35"/>
      <c r="T29" s="40">
        <f t="shared" si="1"/>
        <v>0</v>
      </c>
    </row>
    <row r="30" spans="1:20" s="3" customFormat="1" ht="25.4" hidden="1" customHeight="1">
      <c r="A30" s="3" t="s">
        <v>497</v>
      </c>
      <c r="B30" s="3" t="s">
        <v>663</v>
      </c>
      <c r="D30" s="26" t="s">
        <v>173</v>
      </c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">
        <f t="shared" si="2"/>
        <v>0</v>
      </c>
      <c r="R30" s="3">
        <f>Q30/'F&amp;B Summary'!$Q$148</f>
        <v>0</v>
      </c>
      <c r="S30" s="35"/>
      <c r="T30" s="40">
        <f t="shared" si="1"/>
        <v>0</v>
      </c>
    </row>
    <row r="31" spans="1:20" s="3" customFormat="1" ht="25.4" hidden="1" customHeight="1">
      <c r="A31" s="3" t="s">
        <v>498</v>
      </c>
      <c r="B31" s="3" t="s">
        <v>663</v>
      </c>
      <c r="D31" s="26" t="s">
        <v>499</v>
      </c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">
        <f t="shared" si="2"/>
        <v>0</v>
      </c>
      <c r="R31" s="3">
        <f>Q31/'F&amp;B Summary'!$Q$148</f>
        <v>0</v>
      </c>
      <c r="S31" s="35"/>
      <c r="T31" s="40">
        <f t="shared" si="1"/>
        <v>0</v>
      </c>
    </row>
    <row r="32" spans="1:20" s="3" customFormat="1" ht="25.4" hidden="1" customHeight="1">
      <c r="A32" s="3" t="s">
        <v>500</v>
      </c>
      <c r="B32" s="3" t="s">
        <v>663</v>
      </c>
      <c r="D32" s="26" t="s">
        <v>501</v>
      </c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">
        <f t="shared" si="2"/>
        <v>0</v>
      </c>
      <c r="R32" s="3">
        <f>Q32/'F&amp;B Summary'!$Q$148</f>
        <v>0</v>
      </c>
      <c r="S32" s="35"/>
      <c r="T32" s="40">
        <f t="shared" si="1"/>
        <v>0</v>
      </c>
    </row>
    <row r="33" spans="1:20" s="3" customFormat="1" ht="25.4" hidden="1" customHeight="1">
      <c r="A33" s="3" t="s">
        <v>502</v>
      </c>
      <c r="B33" s="3" t="s">
        <v>663</v>
      </c>
      <c r="D33" s="26" t="s">
        <v>503</v>
      </c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">
        <f t="shared" si="2"/>
        <v>0</v>
      </c>
      <c r="R33" s="3">
        <f>Q33/'F&amp;B Summary'!$Q$148</f>
        <v>0</v>
      </c>
      <c r="S33" s="35"/>
      <c r="T33" s="40">
        <f t="shared" si="1"/>
        <v>0</v>
      </c>
    </row>
    <row r="34" spans="1:20" s="3" customFormat="1" ht="25.4" hidden="1" customHeight="1">
      <c r="A34" s="3" t="s">
        <v>504</v>
      </c>
      <c r="B34" s="3" t="s">
        <v>663</v>
      </c>
      <c r="D34" s="26" t="s">
        <v>505</v>
      </c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">
        <f t="shared" si="2"/>
        <v>0</v>
      </c>
      <c r="R34" s="3">
        <f>Q34/'F&amp;B Summary'!$Q$148</f>
        <v>0</v>
      </c>
      <c r="S34" s="35"/>
      <c r="T34" s="40">
        <f t="shared" si="1"/>
        <v>0</v>
      </c>
    </row>
    <row r="35" spans="1:20" s="3" customFormat="1" ht="25.4" hidden="1" customHeight="1">
      <c r="A35" s="3" t="s">
        <v>506</v>
      </c>
      <c r="B35" s="3" t="s">
        <v>663</v>
      </c>
      <c r="D35" s="26" t="s">
        <v>507</v>
      </c>
      <c r="E35" s="386"/>
      <c r="F35" s="386"/>
      <c r="G35" s="386"/>
      <c r="H35" s="386"/>
      <c r="I35" s="386"/>
      <c r="J35" s="386"/>
      <c r="K35" s="386"/>
      <c r="L35" s="386"/>
      <c r="M35" s="386"/>
      <c r="N35" s="386"/>
      <c r="O35" s="386"/>
      <c r="P35" s="386"/>
      <c r="Q35" s="3">
        <f t="shared" si="2"/>
        <v>0</v>
      </c>
      <c r="R35" s="3">
        <f>Q35/'F&amp;B Summary'!$Q$148</f>
        <v>0</v>
      </c>
      <c r="S35" s="35"/>
      <c r="T35" s="40">
        <f t="shared" si="1"/>
        <v>0</v>
      </c>
    </row>
    <row r="36" spans="1:20" s="3" customFormat="1" ht="25.4" hidden="1" customHeight="1">
      <c r="A36" s="3" t="s">
        <v>508</v>
      </c>
      <c r="B36" s="3" t="s">
        <v>663</v>
      </c>
      <c r="D36" s="26" t="s">
        <v>509</v>
      </c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">
        <f t="shared" si="2"/>
        <v>0</v>
      </c>
      <c r="R36" s="3">
        <f>Q36/'F&amp;B Summary'!$Q$148</f>
        <v>0</v>
      </c>
      <c r="S36" s="35"/>
      <c r="T36" s="40">
        <f t="shared" si="1"/>
        <v>0</v>
      </c>
    </row>
    <row r="37" spans="1:20" s="3" customFormat="1" ht="25.4" hidden="1" customHeight="1">
      <c r="A37" s="3" t="s">
        <v>510</v>
      </c>
      <c r="B37" s="3" t="s">
        <v>663</v>
      </c>
      <c r="D37" s="26" t="s">
        <v>511</v>
      </c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">
        <f t="shared" si="2"/>
        <v>0</v>
      </c>
      <c r="R37" s="3">
        <f>Q37/'F&amp;B Summary'!$Q$148</f>
        <v>0</v>
      </c>
      <c r="S37" s="35"/>
      <c r="T37" s="40">
        <f t="shared" si="1"/>
        <v>0</v>
      </c>
    </row>
    <row r="38" spans="1:20" s="3" customFormat="1" ht="25.4" hidden="1" customHeight="1">
      <c r="A38" s="3" t="s">
        <v>512</v>
      </c>
      <c r="B38" s="3" t="s">
        <v>663</v>
      </c>
      <c r="D38" s="26" t="s">
        <v>513</v>
      </c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">
        <f t="shared" si="2"/>
        <v>0</v>
      </c>
      <c r="R38" s="3">
        <f>Q38/'F&amp;B Summary'!$Q$148</f>
        <v>0</v>
      </c>
      <c r="S38" s="35"/>
      <c r="T38" s="40">
        <f t="shared" si="1"/>
        <v>0</v>
      </c>
    </row>
    <row r="39" spans="1:20" s="3" customFormat="1" ht="25.4" hidden="1" customHeight="1">
      <c r="A39" s="3" t="s">
        <v>514</v>
      </c>
      <c r="B39" s="3" t="s">
        <v>663</v>
      </c>
      <c r="D39" s="26" t="s">
        <v>515</v>
      </c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">
        <f t="shared" si="2"/>
        <v>0</v>
      </c>
      <c r="R39" s="3">
        <f>Q39/'F&amp;B Summary'!$Q$148</f>
        <v>0</v>
      </c>
      <c r="S39" s="35"/>
      <c r="T39" s="40">
        <f t="shared" si="1"/>
        <v>0</v>
      </c>
    </row>
    <row r="40" spans="1:20" s="3" customFormat="1" ht="25.4" hidden="1" customHeight="1">
      <c r="A40" s="3" t="s">
        <v>516</v>
      </c>
      <c r="B40" s="3" t="s">
        <v>663</v>
      </c>
      <c r="D40" s="26" t="s">
        <v>517</v>
      </c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">
        <f t="shared" si="2"/>
        <v>0</v>
      </c>
      <c r="R40" s="3">
        <f>Q40/'F&amp;B Summary'!$Q$148</f>
        <v>0</v>
      </c>
      <c r="S40" s="35"/>
      <c r="T40" s="40">
        <f t="shared" si="1"/>
        <v>0</v>
      </c>
    </row>
    <row r="41" spans="1:20" s="3" customFormat="1" ht="25.4" hidden="1" customHeight="1">
      <c r="A41" s="3" t="s">
        <v>518</v>
      </c>
      <c r="B41" s="3" t="s">
        <v>663</v>
      </c>
      <c r="D41" s="26" t="s">
        <v>519</v>
      </c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">
        <f t="shared" si="2"/>
        <v>0</v>
      </c>
      <c r="R41" s="3">
        <f>Q41/'F&amp;B Summary'!$Q$148</f>
        <v>0</v>
      </c>
      <c r="S41" s="35"/>
      <c r="T41" s="40">
        <f t="shared" si="1"/>
        <v>0</v>
      </c>
    </row>
    <row r="42" spans="1:20" s="3" customFormat="1" ht="25.4" customHeight="1">
      <c r="A42" s="3" t="s">
        <v>520</v>
      </c>
      <c r="B42" s="3" t="s">
        <v>663</v>
      </c>
      <c r="D42" s="26" t="s">
        <v>521</v>
      </c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">
        <f t="shared" si="2"/>
        <v>0</v>
      </c>
      <c r="R42" s="3">
        <f>Q42/'F&amp;B Summary'!$Q$148</f>
        <v>0</v>
      </c>
      <c r="S42" s="35"/>
      <c r="T42" s="40">
        <f t="shared" si="1"/>
        <v>0</v>
      </c>
    </row>
    <row r="43" spans="1:20" s="3" customFormat="1" ht="25.4" customHeight="1">
      <c r="A43" s="3" t="s">
        <v>522</v>
      </c>
      <c r="B43" s="3" t="s">
        <v>663</v>
      </c>
      <c r="D43" s="26" t="s">
        <v>1262</v>
      </c>
      <c r="E43" s="387">
        <f>12*E123</f>
        <v>36</v>
      </c>
      <c r="F43" s="387">
        <f t="shared" ref="F43:P43" si="3">12*F123</f>
        <v>36</v>
      </c>
      <c r="G43" s="387">
        <f t="shared" si="3"/>
        <v>36</v>
      </c>
      <c r="H43" s="387">
        <f t="shared" si="3"/>
        <v>36</v>
      </c>
      <c r="I43" s="387">
        <f t="shared" si="3"/>
        <v>36</v>
      </c>
      <c r="J43" s="387">
        <f t="shared" si="3"/>
        <v>36</v>
      </c>
      <c r="K43" s="387">
        <f t="shared" si="3"/>
        <v>36</v>
      </c>
      <c r="L43" s="387">
        <f t="shared" si="3"/>
        <v>36</v>
      </c>
      <c r="M43" s="387">
        <f t="shared" si="3"/>
        <v>36</v>
      </c>
      <c r="N43" s="387">
        <f t="shared" si="3"/>
        <v>36</v>
      </c>
      <c r="O43" s="387">
        <f t="shared" si="3"/>
        <v>36</v>
      </c>
      <c r="P43" s="387">
        <f t="shared" si="3"/>
        <v>36</v>
      </c>
      <c r="Q43" s="3">
        <f t="shared" si="2"/>
        <v>432</v>
      </c>
      <c r="R43" s="3">
        <f>Q43/'F&amp;B Summary'!$Q$148</f>
        <v>3.3337191804607017E-3</v>
      </c>
      <c r="S43" s="35"/>
      <c r="T43" s="40" t="e">
        <f t="shared" si="1"/>
        <v>#DIV/0!</v>
      </c>
    </row>
    <row r="44" spans="1:20" s="3" customFormat="1" ht="25.4" customHeight="1">
      <c r="A44" s="3" t="s">
        <v>524</v>
      </c>
      <c r="B44" s="3" t="s">
        <v>663</v>
      </c>
      <c r="D44" s="26" t="s">
        <v>525</v>
      </c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">
        <f t="shared" si="2"/>
        <v>0</v>
      </c>
      <c r="R44" s="3">
        <f>Q44/'F&amp;B Summary'!$Q$148</f>
        <v>0</v>
      </c>
      <c r="S44" s="35"/>
      <c r="T44" s="40">
        <f t="shared" si="1"/>
        <v>0</v>
      </c>
    </row>
    <row r="45" spans="1:20" s="3" customFormat="1" ht="25.4" hidden="1" customHeight="1">
      <c r="A45" s="3" t="s">
        <v>526</v>
      </c>
      <c r="B45" s="3" t="s">
        <v>663</v>
      </c>
      <c r="D45" s="26" t="s">
        <v>527</v>
      </c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">
        <f t="shared" si="2"/>
        <v>0</v>
      </c>
      <c r="R45" s="3">
        <f>Q45/'F&amp;B Summary'!$Q$148</f>
        <v>0</v>
      </c>
      <c r="S45" s="35"/>
      <c r="T45" s="40">
        <f t="shared" si="1"/>
        <v>0</v>
      </c>
    </row>
    <row r="46" spans="1:20" s="3" customFormat="1" ht="25.4" hidden="1" customHeight="1">
      <c r="A46" s="3" t="s">
        <v>528</v>
      </c>
      <c r="B46" s="3" t="s">
        <v>663</v>
      </c>
      <c r="D46" s="29" t="s">
        <v>529</v>
      </c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">
        <f t="shared" si="2"/>
        <v>0</v>
      </c>
      <c r="R46" s="3">
        <f>Q46/'F&amp;B Summary'!$Q$148</f>
        <v>0</v>
      </c>
      <c r="S46" s="35"/>
      <c r="T46" s="40"/>
    </row>
    <row r="47" spans="1:20" s="3" customFormat="1" ht="25.4" hidden="1" customHeight="1">
      <c r="A47" s="3" t="s">
        <v>530</v>
      </c>
      <c r="B47" s="3" t="s">
        <v>663</v>
      </c>
      <c r="D47" s="26" t="s">
        <v>531</v>
      </c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">
        <f t="shared" si="2"/>
        <v>0</v>
      </c>
      <c r="R47" s="3">
        <f>Q47/'F&amp;B Summary'!$Q$148</f>
        <v>0</v>
      </c>
      <c r="S47" s="35"/>
      <c r="T47" s="40">
        <f t="shared" ref="T47:T74" si="4">-IF(Q47-S47=0,0,(Q47-S47)/S47)</f>
        <v>0</v>
      </c>
    </row>
    <row r="48" spans="1:20" s="3" customFormat="1" ht="25.4" hidden="1" customHeight="1">
      <c r="A48" s="3" t="s">
        <v>532</v>
      </c>
      <c r="B48" s="3" t="s">
        <v>663</v>
      </c>
      <c r="D48" s="26" t="s">
        <v>533</v>
      </c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">
        <f t="shared" si="2"/>
        <v>0</v>
      </c>
      <c r="R48" s="3">
        <f>Q48/'F&amp;B Summary'!$Q$148</f>
        <v>0</v>
      </c>
      <c r="S48" s="35"/>
      <c r="T48" s="40">
        <f t="shared" si="4"/>
        <v>0</v>
      </c>
    </row>
    <row r="49" spans="1:24" s="3" customFormat="1" ht="25.4" hidden="1" customHeight="1">
      <c r="A49" s="3" t="s">
        <v>534</v>
      </c>
      <c r="B49" s="3" t="s">
        <v>663</v>
      </c>
      <c r="D49" s="26" t="s">
        <v>535</v>
      </c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">
        <f t="shared" si="2"/>
        <v>0</v>
      </c>
      <c r="R49" s="3">
        <f>Q49/'F&amp;B Summary'!$Q$148</f>
        <v>0</v>
      </c>
      <c r="S49" s="35"/>
      <c r="T49" s="40">
        <f t="shared" si="4"/>
        <v>0</v>
      </c>
    </row>
    <row r="50" spans="1:24" s="3" customFormat="1" ht="25.4" hidden="1" customHeight="1">
      <c r="A50" s="3" t="s">
        <v>536</v>
      </c>
      <c r="B50" s="3" t="s">
        <v>663</v>
      </c>
      <c r="D50" s="26" t="s">
        <v>537</v>
      </c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3">
        <f t="shared" si="2"/>
        <v>0</v>
      </c>
      <c r="R50" s="3">
        <f>Q50/'F&amp;B Summary'!$Q$148</f>
        <v>0</v>
      </c>
      <c r="S50" s="35"/>
      <c r="T50" s="40">
        <f t="shared" si="4"/>
        <v>0</v>
      </c>
    </row>
    <row r="51" spans="1:24" s="3" customFormat="1" ht="25.4" hidden="1" customHeight="1">
      <c r="A51" s="3" t="s">
        <v>538</v>
      </c>
      <c r="B51" s="3" t="s">
        <v>663</v>
      </c>
      <c r="D51" s="26" t="s">
        <v>539</v>
      </c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">
        <f t="shared" si="2"/>
        <v>0</v>
      </c>
      <c r="R51" s="3">
        <f>Q51/'F&amp;B Summary'!$Q$148</f>
        <v>0</v>
      </c>
      <c r="S51" s="35"/>
      <c r="T51" s="40">
        <f t="shared" si="4"/>
        <v>0</v>
      </c>
    </row>
    <row r="52" spans="1:24" s="3" customFormat="1" ht="25.4" hidden="1" customHeight="1">
      <c r="A52" s="3" t="s">
        <v>540</v>
      </c>
      <c r="B52" s="3" t="s">
        <v>663</v>
      </c>
      <c r="D52" s="26" t="s">
        <v>541</v>
      </c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">
        <f t="shared" si="2"/>
        <v>0</v>
      </c>
      <c r="R52" s="3">
        <f>Q52/'F&amp;B Summary'!$Q$148</f>
        <v>0</v>
      </c>
      <c r="S52" s="35"/>
      <c r="T52" s="40">
        <f t="shared" si="4"/>
        <v>0</v>
      </c>
    </row>
    <row r="53" spans="1:24" s="3" customFormat="1" ht="25.4" hidden="1" customHeight="1">
      <c r="A53" s="3" t="s">
        <v>542</v>
      </c>
      <c r="B53" s="3" t="s">
        <v>663</v>
      </c>
      <c r="D53" s="29" t="s">
        <v>543</v>
      </c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">
        <f t="shared" si="2"/>
        <v>0</v>
      </c>
      <c r="R53" s="3">
        <f>Q53/'F&amp;B Summary'!$Q$148</f>
        <v>0</v>
      </c>
      <c r="S53" s="35"/>
      <c r="T53" s="40">
        <f t="shared" si="4"/>
        <v>0</v>
      </c>
    </row>
    <row r="54" spans="1:24" s="3" customFormat="1" ht="25.4" hidden="1" customHeight="1">
      <c r="A54" s="3" t="s">
        <v>544</v>
      </c>
      <c r="B54" s="3" t="s">
        <v>663</v>
      </c>
      <c r="D54" s="26" t="s">
        <v>545</v>
      </c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">
        <f t="shared" si="2"/>
        <v>0</v>
      </c>
      <c r="R54" s="3">
        <f>Q54/'F&amp;B Summary'!$Q$148</f>
        <v>0</v>
      </c>
      <c r="S54" s="35"/>
      <c r="T54" s="40">
        <f t="shared" si="4"/>
        <v>0</v>
      </c>
    </row>
    <row r="55" spans="1:24" s="3" customFormat="1" ht="25.4" hidden="1" customHeight="1">
      <c r="A55" s="3" t="s">
        <v>546</v>
      </c>
      <c r="B55" s="3" t="s">
        <v>663</v>
      </c>
      <c r="D55" s="29" t="s">
        <v>547</v>
      </c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">
        <f t="shared" si="2"/>
        <v>0</v>
      </c>
      <c r="R55" s="3">
        <f>Q55/'F&amp;B Summary'!$Q$148</f>
        <v>0</v>
      </c>
      <c r="S55" s="35"/>
      <c r="T55" s="40">
        <f t="shared" si="4"/>
        <v>0</v>
      </c>
    </row>
    <row r="56" spans="1:24" s="306" customFormat="1" ht="25.4" hidden="1" customHeight="1">
      <c r="A56" s="306" t="s">
        <v>548</v>
      </c>
      <c r="B56" s="306" t="s">
        <v>663</v>
      </c>
      <c r="D56" s="26" t="s">
        <v>1227</v>
      </c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">
        <f t="shared" si="2"/>
        <v>0</v>
      </c>
      <c r="R56" s="3">
        <f>Q56/'F&amp;B Summary'!$Q$148</f>
        <v>0</v>
      </c>
      <c r="S56" s="35"/>
      <c r="T56" s="40">
        <f t="shared" si="4"/>
        <v>0</v>
      </c>
      <c r="U56" s="350"/>
      <c r="V56" s="3"/>
      <c r="W56" s="3"/>
      <c r="X56" s="3"/>
    </row>
    <row r="57" spans="1:24" s="3" customFormat="1" ht="25.4" hidden="1" customHeight="1">
      <c r="A57" s="3" t="s">
        <v>550</v>
      </c>
      <c r="B57" s="3" t="s">
        <v>663</v>
      </c>
      <c r="D57" s="26" t="s">
        <v>551</v>
      </c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3">
        <f t="shared" si="2"/>
        <v>0</v>
      </c>
      <c r="R57" s="3">
        <f>Q57/'F&amp;B Summary'!$Q$148</f>
        <v>0</v>
      </c>
      <c r="S57" s="35"/>
      <c r="T57" s="40">
        <f t="shared" si="4"/>
        <v>0</v>
      </c>
    </row>
    <row r="58" spans="1:24" s="3" customFormat="1" ht="25.4" hidden="1" customHeight="1">
      <c r="A58" s="3" t="s">
        <v>552</v>
      </c>
      <c r="B58" s="3" t="s">
        <v>663</v>
      </c>
      <c r="D58" s="26" t="s">
        <v>553</v>
      </c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">
        <f t="shared" si="2"/>
        <v>0</v>
      </c>
      <c r="R58" s="3">
        <f>Q58/'F&amp;B Summary'!$Q$148</f>
        <v>0</v>
      </c>
      <c r="S58" s="35"/>
      <c r="T58" s="40">
        <f t="shared" si="4"/>
        <v>0</v>
      </c>
    </row>
    <row r="59" spans="1:24" s="3" customFormat="1" ht="25.4" hidden="1" customHeight="1">
      <c r="A59" s="3" t="s">
        <v>554</v>
      </c>
      <c r="B59" s="3" t="s">
        <v>663</v>
      </c>
      <c r="D59" s="26" t="s">
        <v>555</v>
      </c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3">
        <f t="shared" si="2"/>
        <v>0</v>
      </c>
      <c r="R59" s="3">
        <f>Q59/'F&amp;B Summary'!$Q$148</f>
        <v>0</v>
      </c>
      <c r="S59" s="35"/>
      <c r="T59" s="40">
        <f t="shared" si="4"/>
        <v>0</v>
      </c>
    </row>
    <row r="60" spans="1:24" s="3" customFormat="1" ht="25.4" hidden="1" customHeight="1">
      <c r="A60" s="3" t="s">
        <v>556</v>
      </c>
      <c r="B60" s="3" t="s">
        <v>663</v>
      </c>
      <c r="D60" s="26" t="s">
        <v>557</v>
      </c>
      <c r="E60" s="386"/>
      <c r="F60" s="386"/>
      <c r="G60" s="386"/>
      <c r="H60" s="386"/>
      <c r="I60" s="386"/>
      <c r="J60" s="386"/>
      <c r="K60" s="386"/>
      <c r="L60" s="386"/>
      <c r="M60" s="386"/>
      <c r="N60" s="386"/>
      <c r="O60" s="386"/>
      <c r="P60" s="386"/>
      <c r="Q60" s="3">
        <f t="shared" si="2"/>
        <v>0</v>
      </c>
      <c r="R60" s="3">
        <f>Q60/'F&amp;B Summary'!$Q$148</f>
        <v>0</v>
      </c>
      <c r="S60" s="35"/>
      <c r="T60" s="40">
        <f t="shared" si="4"/>
        <v>0</v>
      </c>
    </row>
    <row r="61" spans="1:24" s="3" customFormat="1" ht="25.4" hidden="1" customHeight="1">
      <c r="A61" s="3" t="s">
        <v>558</v>
      </c>
      <c r="B61" s="3" t="s">
        <v>663</v>
      </c>
      <c r="D61" s="26" t="s">
        <v>559</v>
      </c>
      <c r="E61" s="386"/>
      <c r="F61" s="386"/>
      <c r="G61" s="386"/>
      <c r="H61" s="386"/>
      <c r="I61" s="386"/>
      <c r="J61" s="386"/>
      <c r="K61" s="386"/>
      <c r="L61" s="386"/>
      <c r="M61" s="386"/>
      <c r="N61" s="386"/>
      <c r="O61" s="386"/>
      <c r="P61" s="386"/>
      <c r="Q61" s="3">
        <f t="shared" si="2"/>
        <v>0</v>
      </c>
      <c r="R61" s="3">
        <f>Q61/'F&amp;B Summary'!$Q$148</f>
        <v>0</v>
      </c>
      <c r="S61" s="35"/>
      <c r="T61" s="40">
        <f t="shared" si="4"/>
        <v>0</v>
      </c>
    </row>
    <row r="62" spans="1:24" s="3" customFormat="1" ht="25.4" hidden="1" customHeight="1">
      <c r="A62" s="3" t="s">
        <v>422</v>
      </c>
      <c r="B62" s="3" t="s">
        <v>663</v>
      </c>
      <c r="D62" s="26" t="s">
        <v>423</v>
      </c>
      <c r="E62" s="386"/>
      <c r="F62" s="386"/>
      <c r="G62" s="386"/>
      <c r="H62" s="386"/>
      <c r="I62" s="386"/>
      <c r="J62" s="386"/>
      <c r="K62" s="386"/>
      <c r="L62" s="386"/>
      <c r="M62" s="386"/>
      <c r="N62" s="386"/>
      <c r="O62" s="386"/>
      <c r="P62" s="386"/>
      <c r="Q62" s="3">
        <f t="shared" si="2"/>
        <v>0</v>
      </c>
      <c r="S62" s="35"/>
      <c r="T62" s="40">
        <f t="shared" si="4"/>
        <v>0</v>
      </c>
    </row>
    <row r="63" spans="1:24" s="3" customFormat="1" ht="25.4" hidden="1" customHeight="1">
      <c r="A63" s="3" t="s">
        <v>560</v>
      </c>
      <c r="B63" s="3" t="s">
        <v>663</v>
      </c>
      <c r="D63" s="26" t="s">
        <v>561</v>
      </c>
      <c r="E63" s="386"/>
      <c r="F63" s="386"/>
      <c r="G63" s="386"/>
      <c r="H63" s="386"/>
      <c r="I63" s="386"/>
      <c r="J63" s="386"/>
      <c r="K63" s="386"/>
      <c r="L63" s="386"/>
      <c r="M63" s="386"/>
      <c r="N63" s="386"/>
      <c r="O63" s="386"/>
      <c r="P63" s="386"/>
      <c r="Q63" s="3">
        <f t="shared" si="2"/>
        <v>0</v>
      </c>
      <c r="R63" s="3">
        <f>Q63/'F&amp;B Summary'!$Q$148</f>
        <v>0</v>
      </c>
      <c r="S63" s="35"/>
      <c r="T63" s="40">
        <f t="shared" si="4"/>
        <v>0</v>
      </c>
    </row>
    <row r="64" spans="1:24" s="3" customFormat="1" ht="25.4" hidden="1" customHeight="1">
      <c r="A64" s="3" t="s">
        <v>562</v>
      </c>
      <c r="B64" s="3" t="s">
        <v>663</v>
      </c>
      <c r="D64" s="26" t="s">
        <v>563</v>
      </c>
      <c r="E64" s="386"/>
      <c r="F64" s="386"/>
      <c r="G64" s="386"/>
      <c r="H64" s="386"/>
      <c r="I64" s="386"/>
      <c r="J64" s="386"/>
      <c r="K64" s="386"/>
      <c r="L64" s="386"/>
      <c r="M64" s="386"/>
      <c r="N64" s="386"/>
      <c r="O64" s="386"/>
      <c r="P64" s="386"/>
      <c r="Q64" s="3">
        <f t="shared" si="2"/>
        <v>0</v>
      </c>
      <c r="R64" s="3">
        <f>Q64/'F&amp;B Summary'!$Q$148</f>
        <v>0</v>
      </c>
      <c r="S64" s="35"/>
      <c r="T64" s="40">
        <f t="shared" si="4"/>
        <v>0</v>
      </c>
    </row>
    <row r="65" spans="1:24" s="3" customFormat="1" ht="25.4" hidden="1" customHeight="1">
      <c r="A65" s="3" t="s">
        <v>564</v>
      </c>
      <c r="B65" s="3" t="s">
        <v>663</v>
      </c>
      <c r="D65" s="26" t="s">
        <v>565</v>
      </c>
      <c r="E65" s="386"/>
      <c r="F65" s="386"/>
      <c r="G65" s="386"/>
      <c r="H65" s="386"/>
      <c r="I65" s="386"/>
      <c r="J65" s="386"/>
      <c r="K65" s="386"/>
      <c r="L65" s="386"/>
      <c r="M65" s="386"/>
      <c r="N65" s="386"/>
      <c r="O65" s="386"/>
      <c r="P65" s="386"/>
      <c r="Q65" s="3">
        <f t="shared" si="2"/>
        <v>0</v>
      </c>
      <c r="R65" s="3">
        <f>Q65/'F&amp;B Summary'!$Q$148</f>
        <v>0</v>
      </c>
      <c r="S65" s="35"/>
      <c r="T65" s="40">
        <f t="shared" si="4"/>
        <v>0</v>
      </c>
    </row>
    <row r="66" spans="1:24" s="3" customFormat="1" ht="25.4" hidden="1" customHeight="1">
      <c r="A66" s="3" t="s">
        <v>566</v>
      </c>
      <c r="B66" s="3" t="s">
        <v>663</v>
      </c>
      <c r="D66" s="26" t="s">
        <v>567</v>
      </c>
      <c r="E66" s="386"/>
      <c r="F66" s="386"/>
      <c r="G66" s="386"/>
      <c r="H66" s="386"/>
      <c r="I66" s="386"/>
      <c r="J66" s="386"/>
      <c r="K66" s="386"/>
      <c r="L66" s="386"/>
      <c r="M66" s="386"/>
      <c r="N66" s="386"/>
      <c r="O66" s="386"/>
      <c r="P66" s="386"/>
      <c r="Q66" s="3">
        <f t="shared" si="2"/>
        <v>0</v>
      </c>
      <c r="R66" s="3">
        <f>Q66/'F&amp;B Summary'!$Q$148</f>
        <v>0</v>
      </c>
      <c r="S66" s="35"/>
      <c r="T66" s="40">
        <f t="shared" si="4"/>
        <v>0</v>
      </c>
    </row>
    <row r="67" spans="1:24" s="3" customFormat="1" ht="25.4" hidden="1" customHeight="1">
      <c r="A67" s="3" t="s">
        <v>568</v>
      </c>
      <c r="B67" s="3" t="s">
        <v>663</v>
      </c>
      <c r="D67" s="26" t="s">
        <v>569</v>
      </c>
      <c r="E67" s="386"/>
      <c r="F67" s="386"/>
      <c r="G67" s="386"/>
      <c r="H67" s="386"/>
      <c r="I67" s="386"/>
      <c r="J67" s="386"/>
      <c r="K67" s="386"/>
      <c r="L67" s="386"/>
      <c r="M67" s="386"/>
      <c r="N67" s="386"/>
      <c r="O67" s="386"/>
      <c r="P67" s="386"/>
      <c r="Q67" s="3">
        <f t="shared" si="2"/>
        <v>0</v>
      </c>
      <c r="R67" s="3">
        <f>Q67/'F&amp;B Summary'!$Q$148</f>
        <v>0</v>
      </c>
      <c r="S67" s="35"/>
      <c r="T67" s="40">
        <f t="shared" si="4"/>
        <v>0</v>
      </c>
    </row>
    <row r="68" spans="1:24" s="3" customFormat="1" ht="25.4" customHeight="1">
      <c r="A68" s="3" t="s">
        <v>570</v>
      </c>
      <c r="B68" s="3" t="s">
        <v>663</v>
      </c>
      <c r="D68" s="26" t="s">
        <v>571</v>
      </c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">
        <f t="shared" si="2"/>
        <v>0</v>
      </c>
      <c r="R68" s="3">
        <f>Q68/'F&amp;B Summary'!$Q$148</f>
        <v>0</v>
      </c>
      <c r="S68" s="35"/>
      <c r="T68" s="40">
        <f t="shared" si="4"/>
        <v>0</v>
      </c>
    </row>
    <row r="69" spans="1:24" s="3" customFormat="1" ht="25.4" customHeight="1">
      <c r="A69" s="3" t="s">
        <v>572</v>
      </c>
      <c r="B69" s="3" t="s">
        <v>663</v>
      </c>
      <c r="D69" s="26" t="s">
        <v>573</v>
      </c>
      <c r="E69" s="386">
        <v>50</v>
      </c>
      <c r="F69" s="386">
        <v>50</v>
      </c>
      <c r="G69" s="386">
        <v>50</v>
      </c>
      <c r="H69" s="386">
        <v>50</v>
      </c>
      <c r="I69" s="386">
        <v>50</v>
      </c>
      <c r="J69" s="386">
        <v>50</v>
      </c>
      <c r="K69" s="386">
        <v>50</v>
      </c>
      <c r="L69" s="386">
        <v>50</v>
      </c>
      <c r="M69" s="386">
        <v>50</v>
      </c>
      <c r="N69" s="386">
        <v>50</v>
      </c>
      <c r="O69" s="386">
        <v>50</v>
      </c>
      <c r="P69" s="386">
        <v>50</v>
      </c>
      <c r="Q69" s="3">
        <f t="shared" si="2"/>
        <v>600</v>
      </c>
      <c r="R69" s="3">
        <f>Q69/'F&amp;B Summary'!$Q$148</f>
        <v>4.6301655284176407E-3</v>
      </c>
      <c r="S69" s="35"/>
      <c r="T69" s="40" t="e">
        <f t="shared" si="4"/>
        <v>#DIV/0!</v>
      </c>
    </row>
    <row r="70" spans="1:24" s="3" customFormat="1" ht="25.4" customHeight="1">
      <c r="A70" s="3" t="s">
        <v>574</v>
      </c>
      <c r="B70" s="3" t="s">
        <v>663</v>
      </c>
      <c r="D70" s="26" t="s">
        <v>1233</v>
      </c>
      <c r="E70" s="386">
        <v>530</v>
      </c>
      <c r="F70" s="386">
        <v>530</v>
      </c>
      <c r="G70" s="386">
        <v>530</v>
      </c>
      <c r="H70" s="386">
        <v>530</v>
      </c>
      <c r="I70" s="386">
        <v>530</v>
      </c>
      <c r="J70" s="386">
        <v>530</v>
      </c>
      <c r="K70" s="386">
        <v>530</v>
      </c>
      <c r="L70" s="386">
        <v>530</v>
      </c>
      <c r="M70" s="386">
        <v>530</v>
      </c>
      <c r="N70" s="386">
        <v>530</v>
      </c>
      <c r="O70" s="386">
        <v>530</v>
      </c>
      <c r="P70" s="386">
        <v>530</v>
      </c>
      <c r="Q70" s="3">
        <f t="shared" si="2"/>
        <v>6360</v>
      </c>
      <c r="R70" s="3">
        <f>Q70/'F&amp;B Summary'!$Q$148</f>
        <v>4.9079754601226995E-2</v>
      </c>
      <c r="S70" s="35"/>
      <c r="T70" s="40" t="e">
        <f t="shared" si="4"/>
        <v>#DIV/0!</v>
      </c>
      <c r="U70" s="350"/>
    </row>
    <row r="71" spans="1:24" s="3" customFormat="1" ht="25.4" customHeight="1">
      <c r="A71" s="3" t="s">
        <v>576</v>
      </c>
      <c r="B71" s="50" t="s">
        <v>663</v>
      </c>
      <c r="D71" s="26" t="s">
        <v>1234</v>
      </c>
      <c r="E71" s="63">
        <v>876.90000000000009</v>
      </c>
      <c r="F71" s="63">
        <v>771.08999999999992</v>
      </c>
      <c r="G71" s="63">
        <v>751.23</v>
      </c>
      <c r="H71" s="63">
        <v>770.28</v>
      </c>
      <c r="I71" s="63">
        <v>758.55</v>
      </c>
      <c r="J71" s="63">
        <v>698.64</v>
      </c>
      <c r="K71" s="63">
        <v>678.99</v>
      </c>
      <c r="L71" s="63">
        <v>681.39</v>
      </c>
      <c r="M71" s="63">
        <v>695.37</v>
      </c>
      <c r="N71" s="63">
        <v>752.18999999999994</v>
      </c>
      <c r="O71" s="63">
        <v>674.13</v>
      </c>
      <c r="P71" s="63">
        <v>667.2</v>
      </c>
      <c r="Q71" s="61">
        <f t="shared" si="2"/>
        <v>8775.9600000000009</v>
      </c>
      <c r="R71" s="3">
        <f>Q71/'F&amp;B Summary'!$Q$148</f>
        <v>6.7723579117953472E-2</v>
      </c>
      <c r="T71" s="3" t="e">
        <f t="shared" si="4"/>
        <v>#DIV/0!</v>
      </c>
    </row>
    <row r="72" spans="1:24" s="3" customFormat="1" ht="25.4" customHeight="1">
      <c r="A72" s="3" t="s">
        <v>578</v>
      </c>
      <c r="B72" s="3" t="s">
        <v>663</v>
      </c>
      <c r="D72" s="26" t="s">
        <v>1235</v>
      </c>
      <c r="E72" s="386"/>
      <c r="F72" s="386"/>
      <c r="G72" s="386"/>
      <c r="H72" s="386"/>
      <c r="I72" s="386"/>
      <c r="J72" s="386"/>
      <c r="K72" s="386"/>
      <c r="L72" s="386"/>
      <c r="M72" s="386"/>
      <c r="N72" s="386"/>
      <c r="O72" s="386"/>
      <c r="P72" s="386"/>
      <c r="Q72" s="3">
        <f t="shared" si="2"/>
        <v>0</v>
      </c>
      <c r="R72" s="3">
        <f>Q72/'F&amp;B Summary'!$Q$148</f>
        <v>0</v>
      </c>
      <c r="S72" s="35"/>
      <c r="T72" s="40">
        <f t="shared" si="4"/>
        <v>0</v>
      </c>
    </row>
    <row r="73" spans="1:24" s="306" customFormat="1" ht="25.4" customHeight="1">
      <c r="A73" s="306" t="s">
        <v>580</v>
      </c>
      <c r="B73" s="306" t="s">
        <v>663</v>
      </c>
      <c r="D73" s="26" t="s">
        <v>1236</v>
      </c>
      <c r="E73" s="3">
        <v>100</v>
      </c>
      <c r="F73" s="3">
        <v>100</v>
      </c>
      <c r="G73" s="3">
        <v>100</v>
      </c>
      <c r="H73" s="3">
        <v>100</v>
      </c>
      <c r="I73" s="3">
        <v>100</v>
      </c>
      <c r="J73" s="3">
        <v>100</v>
      </c>
      <c r="K73" s="3">
        <v>100</v>
      </c>
      <c r="L73" s="3">
        <v>100</v>
      </c>
      <c r="M73" s="3">
        <v>100</v>
      </c>
      <c r="N73" s="3">
        <v>100</v>
      </c>
      <c r="O73" s="3">
        <v>100</v>
      </c>
      <c r="P73" s="3">
        <v>100</v>
      </c>
      <c r="Q73" s="3">
        <f t="shared" si="2"/>
        <v>1200</v>
      </c>
      <c r="R73" s="3">
        <f>Q73/'F&amp;B Summary'!$Q$148</f>
        <v>9.2603310568352814E-3</v>
      </c>
      <c r="S73" s="35"/>
      <c r="T73" s="40" t="e">
        <f t="shared" si="4"/>
        <v>#DIV/0!</v>
      </c>
      <c r="U73" s="3"/>
      <c r="V73" s="3"/>
      <c r="W73" s="3"/>
      <c r="X73" s="3"/>
    </row>
    <row r="74" spans="1:24" s="3" customFormat="1" ht="25.4" customHeight="1">
      <c r="A74" s="3" t="s">
        <v>582</v>
      </c>
      <c r="B74" s="3" t="s">
        <v>663</v>
      </c>
      <c r="D74" s="26" t="s">
        <v>583</v>
      </c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387"/>
      <c r="P74" s="387"/>
      <c r="Q74" s="3">
        <f t="shared" si="2"/>
        <v>0</v>
      </c>
      <c r="R74" s="3">
        <f>Q74/'F&amp;B Summary'!$Q$148</f>
        <v>0</v>
      </c>
      <c r="S74" s="35"/>
      <c r="T74" s="40">
        <f t="shared" si="4"/>
        <v>0</v>
      </c>
    </row>
    <row r="75" spans="1:24" s="3" customFormat="1" ht="25.4" customHeight="1">
      <c r="A75" s="3" t="s">
        <v>584</v>
      </c>
      <c r="B75" s="3" t="s">
        <v>663</v>
      </c>
      <c r="D75" s="26" t="s">
        <v>585</v>
      </c>
      <c r="E75" s="386"/>
      <c r="F75" s="386"/>
      <c r="G75" s="386"/>
      <c r="H75" s="386"/>
      <c r="I75" s="386"/>
      <c r="J75" s="386"/>
      <c r="K75" s="386"/>
      <c r="L75" s="386"/>
      <c r="M75" s="386"/>
      <c r="N75" s="386"/>
      <c r="O75" s="386"/>
      <c r="P75" s="386"/>
      <c r="Q75" s="3">
        <f t="shared" si="2"/>
        <v>0</v>
      </c>
      <c r="R75" s="3">
        <f>Q75/'F&amp;B Summary'!$Q$148</f>
        <v>0</v>
      </c>
      <c r="S75" s="35"/>
      <c r="T75" s="40"/>
    </row>
    <row r="76" spans="1:24" s="3" customFormat="1" ht="25.4" customHeight="1">
      <c r="A76" s="3" t="s">
        <v>586</v>
      </c>
      <c r="B76" s="3" t="s">
        <v>663</v>
      </c>
      <c r="D76" s="26" t="s">
        <v>587</v>
      </c>
      <c r="E76" s="386"/>
      <c r="F76" s="386"/>
      <c r="G76" s="386">
        <v>10000</v>
      </c>
      <c r="H76" s="386">
        <v>1000</v>
      </c>
      <c r="I76" s="386">
        <v>1000</v>
      </c>
      <c r="J76" s="386"/>
      <c r="K76" s="386"/>
      <c r="L76" s="386"/>
      <c r="M76" s="386">
        <v>6000</v>
      </c>
      <c r="N76" s="386"/>
      <c r="O76" s="386"/>
      <c r="P76" s="386"/>
      <c r="Q76" s="3">
        <f t="shared" si="2"/>
        <v>18000</v>
      </c>
      <c r="R76" s="3">
        <f>Q76/'F&amp;B Summary'!$Q$148</f>
        <v>0.13890496585252923</v>
      </c>
      <c r="S76" s="35"/>
      <c r="T76" s="40" t="e">
        <f t="shared" ref="T76:T87" si="5">-IF(Q76-S76=0,0,(Q76-S76)/S76)</f>
        <v>#DIV/0!</v>
      </c>
    </row>
    <row r="77" spans="1:24" s="3" customFormat="1" ht="25.4" customHeight="1">
      <c r="A77" s="3" t="s">
        <v>588</v>
      </c>
      <c r="B77" s="3" t="s">
        <v>663</v>
      </c>
      <c r="D77" s="26" t="s">
        <v>589</v>
      </c>
      <c r="E77" s="386"/>
      <c r="F77" s="386"/>
      <c r="G77" s="386"/>
      <c r="H77" s="386"/>
      <c r="I77" s="386"/>
      <c r="J77" s="386"/>
      <c r="K77" s="386"/>
      <c r="L77" s="386"/>
      <c r="M77" s="386"/>
      <c r="N77" s="386"/>
      <c r="O77" s="386"/>
      <c r="P77" s="386"/>
      <c r="Q77" s="3">
        <f t="shared" si="2"/>
        <v>0</v>
      </c>
      <c r="R77" s="3">
        <f>Q77/'F&amp;B Summary'!$Q$148</f>
        <v>0</v>
      </c>
      <c r="S77" s="35"/>
      <c r="T77" s="40">
        <f t="shared" si="5"/>
        <v>0</v>
      </c>
    </row>
    <row r="78" spans="1:24" s="3" customFormat="1" ht="25.4" customHeight="1">
      <c r="A78" s="3" t="s">
        <v>590</v>
      </c>
      <c r="B78" s="3" t="s">
        <v>663</v>
      </c>
      <c r="D78" s="26" t="s">
        <v>591</v>
      </c>
      <c r="E78" s="386"/>
      <c r="F78" s="386"/>
      <c r="G78" s="386"/>
      <c r="H78" s="386"/>
      <c r="I78" s="386"/>
      <c r="J78" s="386"/>
      <c r="K78" s="386"/>
      <c r="L78" s="386"/>
      <c r="M78" s="386"/>
      <c r="N78" s="386"/>
      <c r="O78" s="386"/>
      <c r="P78" s="386"/>
      <c r="Q78" s="3">
        <f t="shared" si="2"/>
        <v>0</v>
      </c>
      <c r="R78" s="3">
        <f>Q78/'F&amp;B Summary'!$Q$148</f>
        <v>0</v>
      </c>
      <c r="S78" s="35"/>
      <c r="T78" s="40">
        <f t="shared" si="5"/>
        <v>0</v>
      </c>
    </row>
    <row r="79" spans="1:24" s="3" customFormat="1" ht="25.4" customHeight="1">
      <c r="A79" s="3" t="s">
        <v>592</v>
      </c>
      <c r="B79" s="3" t="s">
        <v>663</v>
      </c>
      <c r="D79" s="26" t="s">
        <v>593</v>
      </c>
      <c r="E79" s="386"/>
      <c r="F79" s="386"/>
      <c r="G79" s="386">
        <v>10000</v>
      </c>
      <c r="H79" s="386">
        <v>5000</v>
      </c>
      <c r="I79" s="386">
        <v>5000</v>
      </c>
      <c r="J79" s="386"/>
      <c r="K79" s="386"/>
      <c r="L79" s="386"/>
      <c r="M79" s="386">
        <v>30000</v>
      </c>
      <c r="N79" s="386"/>
      <c r="O79" s="386"/>
      <c r="P79" s="386"/>
      <c r="Q79" s="3">
        <f t="shared" si="2"/>
        <v>50000</v>
      </c>
      <c r="R79" s="3">
        <f>Q79/'F&amp;B Summary'!$Q$148</f>
        <v>0.38584712736813676</v>
      </c>
      <c r="S79" s="35"/>
      <c r="T79" s="40" t="e">
        <f t="shared" si="5"/>
        <v>#DIV/0!</v>
      </c>
    </row>
    <row r="80" spans="1:24" s="3" customFormat="1" ht="25.4" customHeight="1">
      <c r="A80" s="3" t="s">
        <v>270</v>
      </c>
      <c r="B80" s="3" t="s">
        <v>663</v>
      </c>
      <c r="D80" s="26" t="s">
        <v>594</v>
      </c>
      <c r="E80" s="345"/>
      <c r="F80" s="345"/>
      <c r="G80" s="345"/>
      <c r="H80" s="345"/>
      <c r="I80" s="345"/>
      <c r="J80" s="345"/>
      <c r="K80" s="345"/>
      <c r="L80" s="345"/>
      <c r="M80" s="345"/>
      <c r="N80" s="345"/>
      <c r="O80" s="345"/>
      <c r="P80" s="345"/>
      <c r="Q80" s="3">
        <f t="shared" ref="Q80:Q82" si="6">SUM(E80:P80)</f>
        <v>0</v>
      </c>
      <c r="R80" s="3">
        <f>Q80/'F&amp;B Summary'!$Q$148</f>
        <v>0</v>
      </c>
      <c r="S80" s="35"/>
      <c r="T80" s="40">
        <f t="shared" si="5"/>
        <v>0</v>
      </c>
    </row>
    <row r="81" spans="1:20" s="3" customFormat="1" ht="25.4" customHeight="1">
      <c r="A81" s="3" t="s">
        <v>272</v>
      </c>
      <c r="B81" s="3" t="s">
        <v>663</v>
      </c>
      <c r="D81" s="26" t="s">
        <v>273</v>
      </c>
      <c r="E81" s="345"/>
      <c r="F81" s="345"/>
      <c r="G81" s="345"/>
      <c r="H81" s="345"/>
      <c r="I81" s="345"/>
      <c r="J81" s="345"/>
      <c r="K81" s="345"/>
      <c r="L81" s="345"/>
      <c r="M81" s="345"/>
      <c r="N81" s="345"/>
      <c r="O81" s="345"/>
      <c r="P81" s="345"/>
      <c r="Q81" s="3">
        <f t="shared" si="6"/>
        <v>0</v>
      </c>
      <c r="R81" s="3">
        <f>Q81/'F&amp;B Summary'!$Q$148</f>
        <v>0</v>
      </c>
      <c r="S81" s="35"/>
      <c r="T81" s="40">
        <f t="shared" si="5"/>
        <v>0</v>
      </c>
    </row>
    <row r="82" spans="1:20" s="3" customFormat="1" ht="25.4" customHeight="1">
      <c r="A82" s="3" t="s">
        <v>595</v>
      </c>
      <c r="B82" s="3" t="s">
        <v>663</v>
      </c>
      <c r="D82" s="26" t="s">
        <v>596</v>
      </c>
      <c r="E82" s="345"/>
      <c r="F82" s="345"/>
      <c r="G82" s="345"/>
      <c r="H82" s="345"/>
      <c r="I82" s="345"/>
      <c r="J82" s="345"/>
      <c r="K82" s="345"/>
      <c r="L82" s="345"/>
      <c r="M82" s="345"/>
      <c r="N82" s="345"/>
      <c r="O82" s="345"/>
      <c r="P82" s="345"/>
      <c r="Q82" s="3">
        <f t="shared" si="6"/>
        <v>0</v>
      </c>
      <c r="R82" s="3">
        <f>Q82/'F&amp;B Summary'!$Q$148</f>
        <v>0</v>
      </c>
      <c r="S82" s="35"/>
      <c r="T82" s="40">
        <f t="shared" si="5"/>
        <v>0</v>
      </c>
    </row>
    <row r="83" spans="1:20" s="19" customFormat="1" ht="25.4" customHeight="1">
      <c r="D83" s="21" t="s">
        <v>597</v>
      </c>
      <c r="E83" s="45">
        <f>SUM(E15:E82)</f>
        <v>53592.9</v>
      </c>
      <c r="F83" s="45">
        <f t="shared" ref="F83:P83" si="7">SUM(F15:F82)</f>
        <v>53487.09</v>
      </c>
      <c r="G83" s="45">
        <f t="shared" si="7"/>
        <v>73467.23000000001</v>
      </c>
      <c r="H83" s="45">
        <f t="shared" si="7"/>
        <v>59486.28</v>
      </c>
      <c r="I83" s="45">
        <f t="shared" si="7"/>
        <v>59474.55</v>
      </c>
      <c r="J83" s="45">
        <f t="shared" si="7"/>
        <v>53414.64</v>
      </c>
      <c r="K83" s="45">
        <f t="shared" si="7"/>
        <v>53394.99</v>
      </c>
      <c r="L83" s="45">
        <f t="shared" si="7"/>
        <v>53397.39</v>
      </c>
      <c r="M83" s="45">
        <f t="shared" si="7"/>
        <v>89411.37</v>
      </c>
      <c r="N83" s="45">
        <f t="shared" si="7"/>
        <v>53468.19</v>
      </c>
      <c r="O83" s="45">
        <f t="shared" si="7"/>
        <v>53390.13</v>
      </c>
      <c r="P83" s="45">
        <f t="shared" si="7"/>
        <v>53383.199999999997</v>
      </c>
      <c r="Q83" s="45">
        <f t="shared" ref="Q83" si="8">SUM(Q15:Q82)</f>
        <v>709367.96</v>
      </c>
      <c r="R83" s="3">
        <f>Q83/'F&amp;B Summary'!$Q$148</f>
        <v>5.4741517922599066</v>
      </c>
      <c r="S83" s="35"/>
      <c r="T83" s="40" t="e">
        <f t="shared" si="5"/>
        <v>#DIV/0!</v>
      </c>
    </row>
    <row r="84" spans="1:20" s="19" customFormat="1" ht="25.4" customHeight="1">
      <c r="D84" s="21" t="s">
        <v>598</v>
      </c>
      <c r="E84" s="45">
        <f t="shared" ref="E84:Q84" si="9">+E12+E83</f>
        <v>123082.82</v>
      </c>
      <c r="F84" s="45">
        <f t="shared" si="9"/>
        <v>121408.31999999999</v>
      </c>
      <c r="G84" s="45">
        <f t="shared" si="9"/>
        <v>141283.70000000001</v>
      </c>
      <c r="H84" s="45">
        <f t="shared" si="9"/>
        <v>127784.19</v>
      </c>
      <c r="I84" s="45">
        <f t="shared" si="9"/>
        <v>127996.47</v>
      </c>
      <c r="J84" s="45">
        <f t="shared" si="9"/>
        <v>121082.28</v>
      </c>
      <c r="K84" s="45">
        <f t="shared" si="9"/>
        <v>121020.09</v>
      </c>
      <c r="L84" s="45">
        <f t="shared" si="9"/>
        <v>121027.86</v>
      </c>
      <c r="M84" s="45">
        <f t="shared" si="9"/>
        <v>157046.54999999999</v>
      </c>
      <c r="N84" s="45">
        <f t="shared" si="9"/>
        <v>122690.57</v>
      </c>
      <c r="O84" s="45">
        <f t="shared" si="9"/>
        <v>121000.16999999998</v>
      </c>
      <c r="P84" s="45">
        <f t="shared" si="9"/>
        <v>120980.29</v>
      </c>
      <c r="Q84" s="45">
        <f t="shared" si="9"/>
        <v>1526403.31</v>
      </c>
      <c r="R84" s="3">
        <f>Q84/'F&amp;B Summary'!$Q$148</f>
        <v>11.779166647374311</v>
      </c>
      <c r="S84" s="35"/>
      <c r="T84" s="40" t="e">
        <f t="shared" si="5"/>
        <v>#DIV/0!</v>
      </c>
    </row>
    <row r="85" spans="1:20" s="3" customFormat="1" ht="25.4" hidden="1" customHeight="1">
      <c r="A85" s="77" t="s">
        <v>599</v>
      </c>
      <c r="B85" s="3" t="s">
        <v>600</v>
      </c>
      <c r="D85" s="42" t="s">
        <v>353</v>
      </c>
      <c r="E85" s="68">
        <v>877418.59</v>
      </c>
      <c r="F85" s="68">
        <v>900857.82</v>
      </c>
      <c r="G85" s="68">
        <v>1104096.8</v>
      </c>
      <c r="H85" s="68">
        <v>1309327.04</v>
      </c>
      <c r="I85" s="68">
        <v>1209091.8899999999</v>
      </c>
      <c r="J85" s="68">
        <v>1090347.06</v>
      </c>
      <c r="K85" s="68">
        <v>1162046.0900000001</v>
      </c>
      <c r="L85" s="68">
        <v>1267208.1299999999</v>
      </c>
      <c r="M85" s="68">
        <f>+M84</f>
        <v>157046.54999999999</v>
      </c>
      <c r="N85" s="68">
        <f>+N84</f>
        <v>122690.57</v>
      </c>
      <c r="O85" s="68">
        <f>+O84</f>
        <v>121000.16999999998</v>
      </c>
      <c r="P85" s="68">
        <f>+P84</f>
        <v>120980.29</v>
      </c>
      <c r="Q85" s="3">
        <f>+Q84</f>
        <v>1526403.31</v>
      </c>
      <c r="S85" s="35"/>
      <c r="T85" s="40" t="e">
        <f t="shared" si="5"/>
        <v>#DIV/0!</v>
      </c>
    </row>
    <row r="86" spans="1:20" s="3" customFormat="1" ht="25.4" customHeight="1">
      <c r="A86" s="77" t="s">
        <v>455</v>
      </c>
      <c r="B86" s="3" t="s">
        <v>663</v>
      </c>
      <c r="D86" s="42" t="s">
        <v>601</v>
      </c>
      <c r="E86" s="27">
        <f t="shared" ref="E86:P86" si="10">-E84</f>
        <v>-123082.82</v>
      </c>
      <c r="F86" s="27">
        <f t="shared" si="10"/>
        <v>-121408.31999999999</v>
      </c>
      <c r="G86" s="27">
        <f t="shared" si="10"/>
        <v>-141283.70000000001</v>
      </c>
      <c r="H86" s="27">
        <f t="shared" si="10"/>
        <v>-127784.19</v>
      </c>
      <c r="I86" s="27">
        <f t="shared" si="10"/>
        <v>-127996.47</v>
      </c>
      <c r="J86" s="27">
        <f t="shared" si="10"/>
        <v>-121082.28</v>
      </c>
      <c r="K86" s="27">
        <f t="shared" si="10"/>
        <v>-121020.09</v>
      </c>
      <c r="L86" s="27">
        <f t="shared" si="10"/>
        <v>-121027.86</v>
      </c>
      <c r="M86" s="27">
        <f t="shared" si="10"/>
        <v>-157046.54999999999</v>
      </c>
      <c r="N86" s="27">
        <f t="shared" si="10"/>
        <v>-122690.57</v>
      </c>
      <c r="O86" s="27">
        <f t="shared" si="10"/>
        <v>-121000.16999999998</v>
      </c>
      <c r="P86" s="27">
        <f t="shared" si="10"/>
        <v>-120980.29</v>
      </c>
      <c r="Q86" s="3">
        <f>SUM(E86:P86)</f>
        <v>-1526403.31</v>
      </c>
      <c r="S86" s="35"/>
      <c r="T86" s="40" t="e">
        <f t="shared" si="5"/>
        <v>#DIV/0!</v>
      </c>
    </row>
    <row r="87" spans="1:20" s="3" customFormat="1" ht="25.4" customHeight="1">
      <c r="D87" s="42" t="s">
        <v>353</v>
      </c>
      <c r="E87" s="68">
        <f>+E86+'Main Kitchen'!E86+STW!E86+'Lobby Lounge'!E107+'Fangfei Lounge'!E107+'Royal Court'!E107+'MP Cafe'!E107+'Pingju Zhuhai'!E107+'Room Service'!E107+Banquet!E108+Minibar!E95</f>
        <v>9.9999999947613105E-3</v>
      </c>
      <c r="F87" s="68">
        <f>+F86+'Main Kitchen'!F86+STW!F86+'Lobby Lounge'!F107+'Fangfei Lounge'!F107+'Royal Court'!F107+'MP Cafe'!F107+'Pingju Zhuhai'!F107+'Room Service'!F107+Banquet!F108+Minibar!F95</f>
        <v>-2.8194335754960775E-11</v>
      </c>
      <c r="G87" s="68">
        <f>+G86+'Main Kitchen'!G86+STW!G86+'Lobby Lounge'!G107+'Fangfei Lounge'!G107+'Royal Court'!G107+'MP Cafe'!G107+'Pingju Zhuhai'!G107+'Room Service'!G107+Banquet!G108+Minibar!G95</f>
        <v>-2.9103830456733704E-11</v>
      </c>
      <c r="H87" s="68">
        <f>+H86+'Main Kitchen'!H86+STW!H86+'Lobby Lounge'!H107+'Fangfei Lounge'!H107+'Royal Court'!H107+'MP Cafe'!H107+'Pingju Zhuhai'!H107+'Room Service'!H107+Banquet!H108+Minibar!H95</f>
        <v>0</v>
      </c>
      <c r="I87" s="68">
        <f>+I86+'Main Kitchen'!I86+STW!I86+'Lobby Lounge'!I107+'Fangfei Lounge'!I107+'Royal Court'!I107+'MP Cafe'!I107+'Pingju Zhuhai'!I107+'Room Service'!I107+Banquet!I108+Minibar!I95</f>
        <v>1.4551915228366852E-11</v>
      </c>
      <c r="J87" s="68">
        <f>+J86+'Main Kitchen'!J86+STW!J86+'Lobby Lounge'!J107+'Fangfei Lounge'!J107+'Royal Court'!J107+'MP Cafe'!J107+'Pingju Zhuhai'!J107+'Room Service'!J107+Banquet!J108+Minibar!J95</f>
        <v>9.9999999947613105E-3</v>
      </c>
      <c r="K87" s="68">
        <f>+K86+'Main Kitchen'!K86+STW!K86+'Lobby Lounge'!K107+'Fangfei Lounge'!K107+'Royal Court'!K107+'MP Cafe'!K107+'Pingju Zhuhai'!K107+'Room Service'!K107+Banquet!K108+Minibar!K95</f>
        <v>9.9999999947613105E-3</v>
      </c>
      <c r="L87" s="68">
        <f>+L86+'Main Kitchen'!L86+STW!L86+'Lobby Lounge'!L107+'Fangfei Lounge'!L107+'Royal Court'!L107+'MP Cafe'!L107+'Pingju Zhuhai'!L107+'Room Service'!L107+Banquet!L108+Minibar!L95</f>
        <v>1.4551915228366852E-11</v>
      </c>
      <c r="M87" s="68">
        <f>+M86+'Main Kitchen'!M86+STW!M86+'Lobby Lounge'!M107+'Fangfei Lounge'!M107+'Royal Court'!M107+'MP Cafe'!M107+'Pingju Zhuhai'!M107+'Room Service'!M107+Banquet!M108+Minibar!M95</f>
        <v>6.5483618527650833E-11</v>
      </c>
      <c r="N87" s="68">
        <f>+N86+'Main Kitchen'!N86+STW!N86+'Lobby Lounge'!N107+'Fangfei Lounge'!N107+'Royal Court'!N107+'MP Cafe'!N107+'Pingju Zhuhai'!N107+'Room Service'!N107+Banquet!N108+Minibar!N95</f>
        <v>2.9103830456733704E-11</v>
      </c>
      <c r="O87" s="68">
        <f>+O86+'Main Kitchen'!O86+STW!O86+'Lobby Lounge'!O107+'Fangfei Lounge'!O107+'Royal Court'!O107+'MP Cafe'!O107+'Pingju Zhuhai'!O107+'Room Service'!O107+Banquet!O108+Minibar!O95</f>
        <v>2.9103830456733704E-11</v>
      </c>
      <c r="P87" s="68">
        <f>+P86+'Main Kitchen'!P86+STW!P86+'Lobby Lounge'!P107+'Fangfei Lounge'!P107+'Royal Court'!P107+'MP Cafe'!P107+'Pingju Zhuhai'!P107+'Room Service'!P107+Banquet!P108+Minibar!P95</f>
        <v>1.4551915228366852E-11</v>
      </c>
      <c r="Q87" s="68">
        <f>+Q86+'Main Kitchen'!Q86+STW!Q86+'Lobby Lounge'!Q107+'Fangfei Lounge'!Q107+'Royal Court'!Q107+'MP Cafe'!Q107+'Pingju Zhuhai'!Q107+'Room Service'!Q107+Banquet!Q108+Minibar!Q95</f>
        <v>2.9999999678693712E-2</v>
      </c>
      <c r="S87" s="35"/>
      <c r="T87" s="40" t="e">
        <f t="shared" si="5"/>
        <v>#DIV/0!</v>
      </c>
    </row>
    <row r="88" spans="1:20" s="3" customFormat="1" ht="25.4" customHeight="1">
      <c r="B88" s="51"/>
      <c r="D88" s="19" t="s">
        <v>602</v>
      </c>
      <c r="E88" s="48"/>
      <c r="F88" s="48"/>
      <c r="G88" s="48"/>
      <c r="H88" s="48"/>
      <c r="I88" s="48"/>
      <c r="S88" s="35"/>
      <c r="T88" s="40"/>
    </row>
    <row r="89" spans="1:20" s="3" customFormat="1" ht="25.4" customHeight="1">
      <c r="B89" s="51"/>
      <c r="D89" s="19" t="s">
        <v>431</v>
      </c>
      <c r="E89" s="48"/>
      <c r="F89" s="48"/>
      <c r="G89" s="48"/>
      <c r="H89" s="48"/>
      <c r="I89" s="48"/>
      <c r="S89" s="35"/>
      <c r="T89" s="40"/>
    </row>
    <row r="90" spans="1:20" s="3" customFormat="1" ht="25.4" customHeight="1">
      <c r="A90" s="253" t="s">
        <v>297</v>
      </c>
      <c r="B90" s="3" t="s">
        <v>663</v>
      </c>
      <c r="D90" s="26" t="s">
        <v>299</v>
      </c>
      <c r="E90" s="27">
        <v>42000</v>
      </c>
      <c r="F90" s="27">
        <v>42000</v>
      </c>
      <c r="G90" s="27">
        <v>42000</v>
      </c>
      <c r="H90" s="27">
        <v>42000</v>
      </c>
      <c r="I90" s="27">
        <v>42000</v>
      </c>
      <c r="J90" s="27">
        <v>42000</v>
      </c>
      <c r="K90" s="27">
        <v>42000</v>
      </c>
      <c r="L90" s="27">
        <v>42000</v>
      </c>
      <c r="M90" s="27">
        <v>42000</v>
      </c>
      <c r="N90" s="27">
        <v>42000</v>
      </c>
      <c r="O90" s="27">
        <v>42000</v>
      </c>
      <c r="P90" s="27">
        <v>42000</v>
      </c>
      <c r="Q90" s="3">
        <f>SUM(E90:P90)</f>
        <v>504000</v>
      </c>
      <c r="R90" s="3">
        <f>Q90/'F&amp;B Summary'!$Q$148</f>
        <v>3.8893390438708182</v>
      </c>
      <c r="S90" s="35"/>
      <c r="T90" s="40" t="e">
        <f>-IF(Q90-S90=0,0,(Q90-S90)/S90)</f>
        <v>#DIV/0!</v>
      </c>
    </row>
    <row r="91" spans="1:20" s="3" customFormat="1" ht="25.4" customHeight="1">
      <c r="A91" s="50" t="s">
        <v>300</v>
      </c>
      <c r="B91" s="3" t="s">
        <v>663</v>
      </c>
      <c r="D91" s="26" t="s">
        <v>434</v>
      </c>
      <c r="E91" s="27">
        <v>5700</v>
      </c>
      <c r="F91" s="27">
        <v>5700</v>
      </c>
      <c r="G91" s="27">
        <v>5700</v>
      </c>
      <c r="H91" s="27">
        <v>5700</v>
      </c>
      <c r="I91" s="27">
        <v>5700</v>
      </c>
      <c r="J91" s="27">
        <v>5700</v>
      </c>
      <c r="K91" s="27">
        <v>5700</v>
      </c>
      <c r="L91" s="27">
        <v>5700</v>
      </c>
      <c r="M91" s="27">
        <v>5700</v>
      </c>
      <c r="N91" s="27">
        <v>5700</v>
      </c>
      <c r="O91" s="27">
        <v>5700</v>
      </c>
      <c r="P91" s="27">
        <v>5700</v>
      </c>
      <c r="Q91" s="3">
        <f>SUM(E91:P91)</f>
        <v>68400</v>
      </c>
      <c r="R91" s="3">
        <f>Q91/'F&amp;B Summary'!$Q$148</f>
        <v>0.52783887023961107</v>
      </c>
      <c r="S91" s="35"/>
      <c r="T91" s="40" t="e">
        <f>-IF(Q91-S91=0,0,(Q91-S91)/S91)</f>
        <v>#DIV/0!</v>
      </c>
    </row>
    <row r="92" spans="1:20" s="3" customFormat="1" ht="25.4" customHeight="1">
      <c r="B92" s="51"/>
      <c r="D92" s="21" t="s">
        <v>437</v>
      </c>
      <c r="E92" s="52">
        <f>SUM(E90:E91)</f>
        <v>47700</v>
      </c>
      <c r="F92" s="52">
        <f t="shared" ref="F92:P92" si="11">SUM(F90:F91)</f>
        <v>47700</v>
      </c>
      <c r="G92" s="52">
        <f t="shared" si="11"/>
        <v>47700</v>
      </c>
      <c r="H92" s="52">
        <f t="shared" si="11"/>
        <v>47700</v>
      </c>
      <c r="I92" s="52">
        <f t="shared" si="11"/>
        <v>47700</v>
      </c>
      <c r="J92" s="52">
        <f t="shared" si="11"/>
        <v>47700</v>
      </c>
      <c r="K92" s="52">
        <f t="shared" si="11"/>
        <v>47700</v>
      </c>
      <c r="L92" s="52">
        <f t="shared" si="11"/>
        <v>47700</v>
      </c>
      <c r="M92" s="52">
        <f t="shared" si="11"/>
        <v>47700</v>
      </c>
      <c r="N92" s="52">
        <f t="shared" si="11"/>
        <v>47700</v>
      </c>
      <c r="O92" s="52">
        <f t="shared" si="11"/>
        <v>47700</v>
      </c>
      <c r="P92" s="52">
        <f t="shared" si="11"/>
        <v>47700</v>
      </c>
      <c r="Q92" s="52">
        <f t="shared" ref="Q92" si="12">SUM(Q90:Q91)</f>
        <v>572400</v>
      </c>
      <c r="R92" s="3">
        <f>Q92/'F&amp;B Summary'!$Q$148</f>
        <v>4.4171779141104297</v>
      </c>
      <c r="S92" s="35"/>
      <c r="T92" s="40" t="e">
        <f>-IF(Q92-S92=0,0,(Q92-S92)/S92)</f>
        <v>#DIV/0!</v>
      </c>
    </row>
    <row r="93" spans="1:20" s="3" customFormat="1" ht="25.4" customHeight="1">
      <c r="B93" s="51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S93" s="35"/>
      <c r="T93" s="40"/>
    </row>
    <row r="94" spans="1:20" s="3" customFormat="1" ht="25.4" customHeight="1">
      <c r="A94" s="50" t="s">
        <v>603</v>
      </c>
      <c r="B94" s="3" t="s">
        <v>663</v>
      </c>
      <c r="D94" s="26" t="s">
        <v>309</v>
      </c>
      <c r="E94" s="27">
        <v>1572.41</v>
      </c>
      <c r="F94" s="27">
        <v>0</v>
      </c>
      <c r="G94" s="27">
        <v>0</v>
      </c>
      <c r="H94" s="27">
        <v>471.72</v>
      </c>
      <c r="I94" s="27">
        <v>786.21</v>
      </c>
      <c r="J94" s="27">
        <v>0</v>
      </c>
      <c r="K94" s="27">
        <v>0</v>
      </c>
      <c r="L94" s="27">
        <v>0</v>
      </c>
      <c r="M94" s="27">
        <v>0</v>
      </c>
      <c r="N94" s="27">
        <v>1572.41</v>
      </c>
      <c r="O94" s="27">
        <v>0</v>
      </c>
      <c r="P94" s="27">
        <v>0</v>
      </c>
      <c r="Q94" s="3">
        <f>SUM(E94:P94)</f>
        <v>4402.75</v>
      </c>
      <c r="R94" s="3">
        <f>Q94/'F&amp;B Summary'!$Q$148</f>
        <v>3.3975768800401283E-2</v>
      </c>
      <c r="S94" s="35"/>
      <c r="T94" s="40" t="e">
        <f t="shared" ref="T94:T100" si="13">-IF(Q94-S94=0,0,(Q94-S94)/S94)</f>
        <v>#DIV/0!</v>
      </c>
    </row>
    <row r="95" spans="1:20" s="3" customFormat="1" ht="25.4" customHeight="1">
      <c r="A95" s="50" t="s">
        <v>310</v>
      </c>
      <c r="B95" s="3" t="s">
        <v>663</v>
      </c>
      <c r="D95" s="26" t="s">
        <v>311</v>
      </c>
      <c r="E95" s="27">
        <v>596.25</v>
      </c>
      <c r="F95" s="27">
        <v>596.25</v>
      </c>
      <c r="G95" s="27">
        <v>596.25</v>
      </c>
      <c r="H95" s="27">
        <v>596.25</v>
      </c>
      <c r="I95" s="27">
        <v>596.25</v>
      </c>
      <c r="J95" s="27">
        <v>596.25</v>
      </c>
      <c r="K95" s="27">
        <v>596.25</v>
      </c>
      <c r="L95" s="27">
        <v>596.25</v>
      </c>
      <c r="M95" s="27">
        <v>596.25</v>
      </c>
      <c r="N95" s="27">
        <v>596.25</v>
      </c>
      <c r="O95" s="27">
        <v>596.25</v>
      </c>
      <c r="P95" s="27">
        <v>596.25</v>
      </c>
      <c r="Q95" s="3">
        <f t="shared" ref="Q95:Q99" si="14">SUM(E95:P95)</f>
        <v>7155</v>
      </c>
      <c r="R95" s="3">
        <f>Q95/'F&amp;B Summary'!$Q$148</f>
        <v>5.5214723926380369E-2</v>
      </c>
      <c r="S95" s="35"/>
      <c r="T95" s="40" t="e">
        <f t="shared" si="13"/>
        <v>#DIV/0!</v>
      </c>
    </row>
    <row r="96" spans="1:20" s="3" customFormat="1" ht="25.4" customHeight="1">
      <c r="A96" s="50" t="s">
        <v>604</v>
      </c>
      <c r="B96" s="3" t="s">
        <v>663</v>
      </c>
      <c r="D96" s="26" t="s">
        <v>313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14"/>
        <v>0</v>
      </c>
      <c r="R96" s="3">
        <f>Q96/'F&amp;B Summary'!$Q$148</f>
        <v>0</v>
      </c>
      <c r="S96" s="35"/>
      <c r="T96" s="40">
        <f t="shared" si="13"/>
        <v>0</v>
      </c>
    </row>
    <row r="97" spans="1:20" s="3" customFormat="1" ht="25.4" customHeight="1">
      <c r="A97" s="50" t="s">
        <v>605</v>
      </c>
      <c r="B97" s="3" t="s">
        <v>663</v>
      </c>
      <c r="D97" s="26" t="s">
        <v>315</v>
      </c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3">
        <f t="shared" si="14"/>
        <v>0</v>
      </c>
      <c r="R97" s="3">
        <f>Q97/'F&amp;B Summary'!$Q$148</f>
        <v>0</v>
      </c>
      <c r="S97" s="35"/>
      <c r="T97" s="40">
        <f t="shared" si="13"/>
        <v>0</v>
      </c>
    </row>
    <row r="98" spans="1:20" s="3" customFormat="1" ht="25.4" customHeight="1">
      <c r="A98" s="50" t="s">
        <v>606</v>
      </c>
      <c r="B98" s="3" t="s">
        <v>663</v>
      </c>
      <c r="D98" s="26" t="s">
        <v>317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14"/>
        <v>0</v>
      </c>
      <c r="R98" s="3">
        <f>Q98/'F&amp;B Summary'!$Q$148</f>
        <v>0</v>
      </c>
      <c r="S98" s="35"/>
      <c r="T98" s="40">
        <f t="shared" si="13"/>
        <v>0</v>
      </c>
    </row>
    <row r="99" spans="1:20" s="3" customFormat="1" ht="25.4" customHeight="1">
      <c r="A99" s="50" t="s">
        <v>607</v>
      </c>
      <c r="B99" s="3" t="s">
        <v>663</v>
      </c>
      <c r="D99" s="26" t="s">
        <v>608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14"/>
        <v>0</v>
      </c>
      <c r="R99" s="3">
        <f>Q99/'F&amp;B Summary'!$Q$148</f>
        <v>0</v>
      </c>
      <c r="S99" s="35"/>
      <c r="T99" s="40">
        <f t="shared" si="13"/>
        <v>0</v>
      </c>
    </row>
    <row r="100" spans="1:20" s="19" customFormat="1" ht="25.4" customHeight="1">
      <c r="A100" s="54"/>
      <c r="B100" s="51"/>
      <c r="D100" s="19" t="s">
        <v>318</v>
      </c>
      <c r="E100" s="52">
        <f>SUM(E94:E99)</f>
        <v>2168.66</v>
      </c>
      <c r="F100" s="52">
        <f t="shared" ref="F100:P100" si="15">SUM(F94:F99)</f>
        <v>596.25</v>
      </c>
      <c r="G100" s="52">
        <f t="shared" si="15"/>
        <v>596.25</v>
      </c>
      <c r="H100" s="52">
        <f t="shared" si="15"/>
        <v>1067.97</v>
      </c>
      <c r="I100" s="52">
        <f t="shared" si="15"/>
        <v>1382.46</v>
      </c>
      <c r="J100" s="52">
        <f t="shared" si="15"/>
        <v>596.25</v>
      </c>
      <c r="K100" s="52">
        <f t="shared" si="15"/>
        <v>596.25</v>
      </c>
      <c r="L100" s="52">
        <f t="shared" si="15"/>
        <v>596.25</v>
      </c>
      <c r="M100" s="52">
        <f t="shared" si="15"/>
        <v>596.25</v>
      </c>
      <c r="N100" s="52">
        <f t="shared" si="15"/>
        <v>2168.66</v>
      </c>
      <c r="O100" s="52">
        <f t="shared" si="15"/>
        <v>596.25</v>
      </c>
      <c r="P100" s="52">
        <f t="shared" si="15"/>
        <v>596.25</v>
      </c>
      <c r="Q100" s="52">
        <f t="shared" ref="Q100" si="16">SUM(Q94:Q99)</f>
        <v>11557.75</v>
      </c>
      <c r="R100" s="3">
        <f>Q100/'F&amp;B Summary'!$Q$148</f>
        <v>8.9190492726781645E-2</v>
      </c>
      <c r="S100" s="35"/>
      <c r="T100" s="40" t="e">
        <f t="shared" si="13"/>
        <v>#DIV/0!</v>
      </c>
    </row>
    <row r="101" spans="1:20" s="3" customFormat="1" ht="25.4" customHeight="1">
      <c r="A101" s="50"/>
      <c r="D101" s="19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S101" s="35"/>
      <c r="T101" s="40"/>
    </row>
    <row r="102" spans="1:20" s="3" customFormat="1" ht="25.4" customHeight="1">
      <c r="A102" s="254" t="s">
        <v>609</v>
      </c>
      <c r="B102" s="3" t="s">
        <v>663</v>
      </c>
      <c r="D102" s="26" t="s">
        <v>320</v>
      </c>
      <c r="E102" s="27">
        <v>7155</v>
      </c>
      <c r="F102" s="27">
        <v>7155</v>
      </c>
      <c r="G102" s="27">
        <v>7155</v>
      </c>
      <c r="H102" s="27">
        <v>7155</v>
      </c>
      <c r="I102" s="27">
        <v>7155</v>
      </c>
      <c r="J102" s="27">
        <v>7155</v>
      </c>
      <c r="K102" s="27">
        <v>7155</v>
      </c>
      <c r="L102" s="27">
        <v>7155</v>
      </c>
      <c r="M102" s="27">
        <v>7155</v>
      </c>
      <c r="N102" s="27">
        <v>7155</v>
      </c>
      <c r="O102" s="27">
        <v>7155</v>
      </c>
      <c r="P102" s="27">
        <v>7155</v>
      </c>
      <c r="Q102" s="3">
        <f>SUM(E102:P102)</f>
        <v>85860</v>
      </c>
      <c r="R102" s="3">
        <f>Q102/'F&amp;B Summary'!$Q$148</f>
        <v>0.66257668711656437</v>
      </c>
      <c r="S102" s="35"/>
      <c r="T102" s="40" t="e">
        <f t="shared" ref="T102:T110" si="17">-IF(Q102-S102=0,0,(Q102-S102)/S102)</f>
        <v>#DIV/0!</v>
      </c>
    </row>
    <row r="103" spans="1:20" s="3" customFormat="1" ht="25.4" customHeight="1">
      <c r="A103" s="254" t="s">
        <v>610</v>
      </c>
      <c r="B103" s="3" t="s">
        <v>663</v>
      </c>
      <c r="D103" s="26" t="s">
        <v>322</v>
      </c>
      <c r="E103" s="27">
        <v>2716.92</v>
      </c>
      <c r="F103" s="27">
        <v>2716.92</v>
      </c>
      <c r="G103" s="27">
        <v>2716.92</v>
      </c>
      <c r="H103" s="27">
        <v>2716.92</v>
      </c>
      <c r="I103" s="27">
        <v>2716.92</v>
      </c>
      <c r="J103" s="27">
        <v>2716.92</v>
      </c>
      <c r="K103" s="27">
        <v>2716.92</v>
      </c>
      <c r="L103" s="27">
        <v>2716.92</v>
      </c>
      <c r="M103" s="27">
        <v>2716.92</v>
      </c>
      <c r="N103" s="27">
        <v>2716.92</v>
      </c>
      <c r="O103" s="27">
        <v>2716.92</v>
      </c>
      <c r="P103" s="27">
        <v>2716.92</v>
      </c>
      <c r="Q103" s="3">
        <f t="shared" ref="Q103:Q109" si="18">SUM(E103:P103)</f>
        <v>32603.039999999994</v>
      </c>
      <c r="R103" s="3">
        <f>Q103/'F&amp;B Summary'!$Q$148</f>
        <v>0.25159578654936909</v>
      </c>
      <c r="S103" s="35"/>
      <c r="T103" s="40" t="e">
        <f t="shared" si="17"/>
        <v>#DIV/0!</v>
      </c>
    </row>
    <row r="104" spans="1:20" s="3" customFormat="1" ht="25.4" customHeight="1">
      <c r="A104" s="254" t="s">
        <v>611</v>
      </c>
      <c r="B104" s="3" t="s">
        <v>663</v>
      </c>
      <c r="D104" s="26" t="s">
        <v>324</v>
      </c>
      <c r="E104" s="27">
        <v>381.6</v>
      </c>
      <c r="F104" s="27">
        <v>381.6</v>
      </c>
      <c r="G104" s="27">
        <v>381.6</v>
      </c>
      <c r="H104" s="27">
        <v>381.6</v>
      </c>
      <c r="I104" s="27">
        <v>381.6</v>
      </c>
      <c r="J104" s="27">
        <v>381.6</v>
      </c>
      <c r="K104" s="27">
        <v>381.6</v>
      </c>
      <c r="L104" s="27">
        <v>381.6</v>
      </c>
      <c r="M104" s="27">
        <v>381.6</v>
      </c>
      <c r="N104" s="27">
        <v>381.6</v>
      </c>
      <c r="O104" s="27">
        <v>381.6</v>
      </c>
      <c r="P104" s="27">
        <v>381.6</v>
      </c>
      <c r="Q104" s="3">
        <f t="shared" si="18"/>
        <v>4579.2</v>
      </c>
      <c r="R104" s="3">
        <f>Q104/'F&amp;B Summary'!$Q$148</f>
        <v>3.5337423312883434E-2</v>
      </c>
      <c r="S104" s="35"/>
      <c r="T104" s="40" t="e">
        <f t="shared" si="17"/>
        <v>#DIV/0!</v>
      </c>
    </row>
    <row r="105" spans="1:20" s="3" customFormat="1" ht="25.4" customHeight="1">
      <c r="A105" s="254" t="s">
        <v>612</v>
      </c>
      <c r="B105" s="3" t="s">
        <v>663</v>
      </c>
      <c r="D105" s="26" t="s">
        <v>326</v>
      </c>
      <c r="E105" s="27">
        <v>190.8</v>
      </c>
      <c r="F105" s="27">
        <v>190.8</v>
      </c>
      <c r="G105" s="27">
        <v>190.8</v>
      </c>
      <c r="H105" s="27">
        <v>190.8</v>
      </c>
      <c r="I105" s="27">
        <v>190.8</v>
      </c>
      <c r="J105" s="27">
        <v>190.8</v>
      </c>
      <c r="K105" s="27">
        <v>190.8</v>
      </c>
      <c r="L105" s="27">
        <v>190.8</v>
      </c>
      <c r="M105" s="27">
        <v>190.8</v>
      </c>
      <c r="N105" s="27">
        <v>190.8</v>
      </c>
      <c r="O105" s="27">
        <v>190.8</v>
      </c>
      <c r="P105" s="27">
        <v>190.8</v>
      </c>
      <c r="Q105" s="3">
        <f t="shared" si="18"/>
        <v>2289.6</v>
      </c>
      <c r="R105" s="3">
        <f>Q105/'F&amp;B Summary'!$Q$148</f>
        <v>1.7668711656441717E-2</v>
      </c>
      <c r="S105" s="35"/>
      <c r="T105" s="40" t="e">
        <f t="shared" si="17"/>
        <v>#DIV/0!</v>
      </c>
    </row>
    <row r="106" spans="1:20" s="3" customFormat="1" ht="25.4" customHeight="1">
      <c r="A106" s="254" t="s">
        <v>613</v>
      </c>
      <c r="B106" s="3" t="s">
        <v>663</v>
      </c>
      <c r="D106" s="26" t="s">
        <v>328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18"/>
        <v>0</v>
      </c>
      <c r="R106" s="3">
        <f>Q106/'F&amp;B Summary'!$Q$148</f>
        <v>0</v>
      </c>
      <c r="S106" s="35"/>
      <c r="T106" s="40">
        <f t="shared" si="17"/>
        <v>0</v>
      </c>
    </row>
    <row r="107" spans="1:20" s="3" customFormat="1" ht="25.4" customHeight="1">
      <c r="A107" s="254" t="s">
        <v>614</v>
      </c>
      <c r="B107" s="3" t="s">
        <v>663</v>
      </c>
      <c r="D107" s="26" t="s">
        <v>330</v>
      </c>
      <c r="E107" s="27">
        <v>3816</v>
      </c>
      <c r="F107" s="27">
        <v>3816</v>
      </c>
      <c r="G107" s="27">
        <v>3816</v>
      </c>
      <c r="H107" s="27">
        <v>3816</v>
      </c>
      <c r="I107" s="27">
        <v>3816</v>
      </c>
      <c r="J107" s="27">
        <v>3816</v>
      </c>
      <c r="K107" s="27">
        <v>3816</v>
      </c>
      <c r="L107" s="27">
        <v>3816</v>
      </c>
      <c r="M107" s="27">
        <v>3816</v>
      </c>
      <c r="N107" s="27">
        <v>3816</v>
      </c>
      <c r="O107" s="27">
        <v>3816</v>
      </c>
      <c r="P107" s="27">
        <v>3816</v>
      </c>
      <c r="Q107" s="3">
        <f t="shared" si="18"/>
        <v>45792</v>
      </c>
      <c r="R107" s="3">
        <f>Q107/'F&amp;B Summary'!$Q$148</f>
        <v>0.35337423312883437</v>
      </c>
      <c r="S107" s="35"/>
      <c r="T107" s="40" t="e">
        <f t="shared" si="17"/>
        <v>#DIV/0!</v>
      </c>
    </row>
    <row r="108" spans="1:20" s="3" customFormat="1" ht="25.4" customHeight="1">
      <c r="A108" s="254" t="s">
        <v>615</v>
      </c>
      <c r="B108" s="3" t="s">
        <v>663</v>
      </c>
      <c r="D108" s="26" t="s">
        <v>332</v>
      </c>
      <c r="E108" s="27">
        <v>954</v>
      </c>
      <c r="F108" s="27">
        <v>954</v>
      </c>
      <c r="G108" s="27">
        <v>954</v>
      </c>
      <c r="H108" s="27">
        <v>954</v>
      </c>
      <c r="I108" s="27">
        <v>954</v>
      </c>
      <c r="J108" s="27">
        <v>954</v>
      </c>
      <c r="K108" s="27">
        <v>954</v>
      </c>
      <c r="L108" s="27">
        <v>954</v>
      </c>
      <c r="M108" s="27">
        <v>954</v>
      </c>
      <c r="N108" s="27">
        <v>954</v>
      </c>
      <c r="O108" s="27">
        <v>954</v>
      </c>
      <c r="P108" s="27">
        <v>954</v>
      </c>
      <c r="Q108" s="3">
        <f t="shared" si="18"/>
        <v>11448</v>
      </c>
      <c r="R108" s="3">
        <f>Q108/'F&amp;B Summary'!$Q$148</f>
        <v>8.8343558282208592E-2</v>
      </c>
      <c r="S108" s="35"/>
      <c r="T108" s="40" t="e">
        <f t="shared" si="17"/>
        <v>#DIV/0!</v>
      </c>
    </row>
    <row r="109" spans="1:20" s="3" customFormat="1" ht="25.4" customHeight="1">
      <c r="A109" s="254" t="s">
        <v>616</v>
      </c>
      <c r="B109" s="3" t="s">
        <v>663</v>
      </c>
      <c r="D109" s="26" t="s">
        <v>334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18"/>
        <v>0</v>
      </c>
      <c r="R109" s="3">
        <f>Q109/'F&amp;B Summary'!$Q$148</f>
        <v>0</v>
      </c>
      <c r="S109" s="35"/>
      <c r="T109" s="40">
        <f t="shared" si="17"/>
        <v>0</v>
      </c>
    </row>
    <row r="110" spans="1:20" s="19" customFormat="1" ht="25.4" customHeight="1">
      <c r="A110" s="54"/>
      <c r="B110" s="51"/>
      <c r="D110" s="19" t="s">
        <v>335</v>
      </c>
      <c r="E110" s="45">
        <f>SUM(E102:E109)</f>
        <v>15214.32</v>
      </c>
      <c r="F110" s="45">
        <f t="shared" ref="F110:P110" si="19">SUM(F102:F109)</f>
        <v>15214.32</v>
      </c>
      <c r="G110" s="45">
        <f t="shared" si="19"/>
        <v>15214.32</v>
      </c>
      <c r="H110" s="45">
        <f t="shared" si="19"/>
        <v>15214.32</v>
      </c>
      <c r="I110" s="45">
        <f t="shared" si="19"/>
        <v>15214.32</v>
      </c>
      <c r="J110" s="45">
        <f t="shared" si="19"/>
        <v>15214.32</v>
      </c>
      <c r="K110" s="45">
        <f t="shared" si="19"/>
        <v>15214.32</v>
      </c>
      <c r="L110" s="45">
        <f t="shared" si="19"/>
        <v>15214.32</v>
      </c>
      <c r="M110" s="45">
        <f t="shared" si="19"/>
        <v>15214.32</v>
      </c>
      <c r="N110" s="45">
        <f t="shared" si="19"/>
        <v>15214.32</v>
      </c>
      <c r="O110" s="45">
        <f t="shared" si="19"/>
        <v>15214.32</v>
      </c>
      <c r="P110" s="45">
        <f t="shared" si="19"/>
        <v>15214.32</v>
      </c>
      <c r="Q110" s="45">
        <f t="shared" ref="Q110" si="20">SUM(Q102:Q109)</f>
        <v>182571.84</v>
      </c>
      <c r="R110" s="3">
        <f>Q110/'F&amp;B Summary'!$Q$148</f>
        <v>1.4088964000463016</v>
      </c>
      <c r="S110" s="35"/>
      <c r="T110" s="40" t="e">
        <f t="shared" si="17"/>
        <v>#DIV/0!</v>
      </c>
    </row>
    <row r="111" spans="1:20" s="19" customFormat="1" ht="25.4" customHeight="1">
      <c r="A111" s="54"/>
      <c r="B111" s="51"/>
      <c r="D111" s="21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S111" s="35"/>
      <c r="T111" s="40"/>
    </row>
    <row r="112" spans="1:20" s="3" customFormat="1" ht="25.4" customHeight="1">
      <c r="A112" s="254" t="s">
        <v>617</v>
      </c>
      <c r="B112" s="3" t="s">
        <v>663</v>
      </c>
      <c r="D112" s="26" t="s">
        <v>337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>SUM(E112:P112)</f>
        <v>0</v>
      </c>
      <c r="S112" s="35"/>
      <c r="T112" s="40">
        <f t="shared" ref="T112:T121" si="21">-IF(Q112-S112=0,0,(Q112-S112)/S112)</f>
        <v>0</v>
      </c>
    </row>
    <row r="113" spans="1:20" s="3" customFormat="1" ht="25.4" customHeight="1">
      <c r="A113" s="254" t="s">
        <v>618</v>
      </c>
      <c r="B113" s="3" t="s">
        <v>663</v>
      </c>
      <c r="D113" s="3" t="s">
        <v>339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ref="Q113:Q119" si="22">SUM(E113:P113)</f>
        <v>0</v>
      </c>
      <c r="S113" s="35"/>
      <c r="T113" s="40">
        <f t="shared" si="21"/>
        <v>0</v>
      </c>
    </row>
    <row r="114" spans="1:20" s="3" customFormat="1" ht="25.4" customHeight="1">
      <c r="A114" s="254" t="s">
        <v>619</v>
      </c>
      <c r="B114" s="3" t="s">
        <v>663</v>
      </c>
      <c r="D114" s="26" t="s">
        <v>341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22"/>
        <v>0</v>
      </c>
      <c r="S114" s="35"/>
      <c r="T114" s="40">
        <f t="shared" si="21"/>
        <v>0</v>
      </c>
    </row>
    <row r="115" spans="1:20" s="3" customFormat="1" ht="25.4" customHeight="1">
      <c r="A115" s="254" t="s">
        <v>620</v>
      </c>
      <c r="B115" s="3" t="s">
        <v>663</v>
      </c>
      <c r="D115" s="26" t="s">
        <v>343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22"/>
        <v>0</v>
      </c>
      <c r="S115" s="35"/>
      <c r="T115" s="40">
        <f t="shared" si="21"/>
        <v>0</v>
      </c>
    </row>
    <row r="116" spans="1:20" s="3" customFormat="1" ht="25.4" customHeight="1">
      <c r="A116" s="254" t="s">
        <v>621</v>
      </c>
      <c r="B116" s="3" t="s">
        <v>663</v>
      </c>
      <c r="D116" s="26" t="s">
        <v>345</v>
      </c>
      <c r="E116" s="27">
        <v>180</v>
      </c>
      <c r="F116" s="27">
        <v>240</v>
      </c>
      <c r="G116" s="27">
        <v>180</v>
      </c>
      <c r="H116" s="27">
        <v>180</v>
      </c>
      <c r="I116" s="27">
        <v>180</v>
      </c>
      <c r="J116" s="27">
        <v>180</v>
      </c>
      <c r="K116" s="27">
        <v>180</v>
      </c>
      <c r="L116" s="27">
        <v>180</v>
      </c>
      <c r="M116" s="27">
        <v>180</v>
      </c>
      <c r="N116" s="27">
        <v>180</v>
      </c>
      <c r="O116" s="27">
        <v>180</v>
      </c>
      <c r="P116" s="27">
        <v>180</v>
      </c>
      <c r="Q116" s="3">
        <f t="shared" si="22"/>
        <v>2220</v>
      </c>
      <c r="R116" s="3">
        <f>Q116/'F&amp;B Summary'!$Q$148</f>
        <v>1.7131612455145273E-2</v>
      </c>
      <c r="S116" s="35"/>
      <c r="T116" s="40" t="e">
        <f t="shared" si="21"/>
        <v>#DIV/0!</v>
      </c>
    </row>
    <row r="117" spans="1:20" s="3" customFormat="1" ht="25.4" customHeight="1">
      <c r="A117" s="50" t="s">
        <v>622</v>
      </c>
      <c r="B117" s="3" t="s">
        <v>663</v>
      </c>
      <c r="D117" s="26" t="s">
        <v>623</v>
      </c>
      <c r="Q117" s="3">
        <f t="shared" si="22"/>
        <v>0</v>
      </c>
      <c r="R117" s="3">
        <f>Q117/'F&amp;B Summary'!$Q$148</f>
        <v>0</v>
      </c>
      <c r="S117" s="35"/>
      <c r="T117" s="40">
        <f t="shared" si="21"/>
        <v>0</v>
      </c>
    </row>
    <row r="118" spans="1:20" s="3" customFormat="1" ht="25.4" customHeight="1">
      <c r="A118" s="254" t="s">
        <v>346</v>
      </c>
      <c r="B118" s="3" t="s">
        <v>663</v>
      </c>
      <c r="D118" s="26" t="s">
        <v>347</v>
      </c>
      <c r="E118" s="27">
        <v>1067.19</v>
      </c>
      <c r="F118" s="27">
        <v>1062.99</v>
      </c>
      <c r="G118" s="27">
        <v>1058.82</v>
      </c>
      <c r="H118" s="27">
        <v>1054.68</v>
      </c>
      <c r="I118" s="27">
        <v>1026.6299999999999</v>
      </c>
      <c r="J118" s="27">
        <v>1011.24</v>
      </c>
      <c r="K118" s="27">
        <v>992.64</v>
      </c>
      <c r="L118" s="27">
        <v>992.64</v>
      </c>
      <c r="M118" s="27">
        <v>985.41000000000008</v>
      </c>
      <c r="N118" s="27">
        <v>978.27</v>
      </c>
      <c r="O118" s="27">
        <v>974.73</v>
      </c>
      <c r="P118" s="27">
        <v>971.22</v>
      </c>
      <c r="Q118" s="3">
        <f t="shared" si="22"/>
        <v>12176.46</v>
      </c>
      <c r="R118" s="3">
        <f>Q118/'F&amp;B Summary'!$Q$148</f>
        <v>9.3965042250260436E-2</v>
      </c>
      <c r="S118" s="35"/>
      <c r="T118" s="40" t="e">
        <f t="shared" si="21"/>
        <v>#DIV/0!</v>
      </c>
    </row>
    <row r="119" spans="1:20" s="3" customFormat="1" ht="25.4" customHeight="1">
      <c r="A119" s="254" t="s">
        <v>624</v>
      </c>
      <c r="B119" s="3" t="s">
        <v>663</v>
      </c>
      <c r="D119" s="26" t="s">
        <v>349</v>
      </c>
      <c r="E119" s="27">
        <v>3159.75</v>
      </c>
      <c r="F119" s="27">
        <v>3107.67</v>
      </c>
      <c r="G119" s="27">
        <v>3067.08</v>
      </c>
      <c r="H119" s="27">
        <v>3080.94</v>
      </c>
      <c r="I119" s="27">
        <v>3018.5099999999998</v>
      </c>
      <c r="J119" s="27">
        <v>2965.83</v>
      </c>
      <c r="K119" s="27">
        <v>2941.89</v>
      </c>
      <c r="L119" s="27">
        <v>2947.2599999999998</v>
      </c>
      <c r="M119" s="27">
        <v>2959.2</v>
      </c>
      <c r="N119" s="27">
        <v>2981.13</v>
      </c>
      <c r="O119" s="27">
        <v>2944.7400000000002</v>
      </c>
      <c r="P119" s="27">
        <f>2935.26+0.04</f>
        <v>2935.3</v>
      </c>
      <c r="Q119" s="3">
        <f t="shared" si="22"/>
        <v>36109.300000000003</v>
      </c>
      <c r="R119" s="3">
        <f>Q119/'F&amp;B Summary'!$Q$148</f>
        <v>0.27865339352548524</v>
      </c>
      <c r="S119" s="35"/>
      <c r="T119" s="40" t="e">
        <f t="shared" si="21"/>
        <v>#DIV/0!</v>
      </c>
    </row>
    <row r="120" spans="1:20" s="3" customFormat="1" ht="25.4" customHeight="1">
      <c r="A120" s="54"/>
      <c r="D120" s="19" t="s">
        <v>350</v>
      </c>
      <c r="E120" s="52">
        <f t="shared" ref="E120" si="23">SUM(E112:E119)</f>
        <v>4406.9400000000005</v>
      </c>
      <c r="F120" s="52">
        <f t="shared" ref="F120:P120" si="24">SUM(F112:F119)</f>
        <v>4410.66</v>
      </c>
      <c r="G120" s="52">
        <f t="shared" si="24"/>
        <v>4305.8999999999996</v>
      </c>
      <c r="H120" s="52">
        <f t="shared" si="24"/>
        <v>4315.62</v>
      </c>
      <c r="I120" s="52">
        <f t="shared" si="24"/>
        <v>4225.1399999999994</v>
      </c>
      <c r="J120" s="52">
        <f t="shared" si="24"/>
        <v>4157.07</v>
      </c>
      <c r="K120" s="52">
        <f t="shared" si="24"/>
        <v>4114.53</v>
      </c>
      <c r="L120" s="52">
        <f t="shared" si="24"/>
        <v>4119.8999999999996</v>
      </c>
      <c r="M120" s="52">
        <f t="shared" si="24"/>
        <v>4124.6099999999997</v>
      </c>
      <c r="N120" s="52">
        <f t="shared" si="24"/>
        <v>4139.3999999999996</v>
      </c>
      <c r="O120" s="52">
        <f t="shared" si="24"/>
        <v>4099.47</v>
      </c>
      <c r="P120" s="52">
        <f t="shared" si="24"/>
        <v>4086.5200000000004</v>
      </c>
      <c r="Q120" s="52">
        <f t="shared" ref="Q120" si="25">SUM(Q112:Q119)</f>
        <v>50505.760000000002</v>
      </c>
      <c r="R120" s="3">
        <f>Q120/'F&amp;B Summary'!$Q$148</f>
        <v>0.38975004823089093</v>
      </c>
      <c r="S120" s="35"/>
      <c r="T120" s="40" t="e">
        <f t="shared" si="21"/>
        <v>#DIV/0!</v>
      </c>
    </row>
    <row r="121" spans="1:20" s="3" customFormat="1" ht="25.4" customHeight="1">
      <c r="A121" s="54"/>
      <c r="B121" s="51"/>
      <c r="D121" s="19" t="s">
        <v>351</v>
      </c>
      <c r="E121" s="52">
        <f>E92+E100+E110+E120</f>
        <v>69489.919999999998</v>
      </c>
      <c r="F121" s="52">
        <f t="shared" ref="F121:P121" si="26">F92+F100+F110+F120</f>
        <v>67921.23</v>
      </c>
      <c r="G121" s="52">
        <f t="shared" si="26"/>
        <v>67816.47</v>
      </c>
      <c r="H121" s="52">
        <f t="shared" si="26"/>
        <v>68297.91</v>
      </c>
      <c r="I121" s="52">
        <f t="shared" si="26"/>
        <v>68521.919999999998</v>
      </c>
      <c r="J121" s="52">
        <f t="shared" si="26"/>
        <v>67667.64</v>
      </c>
      <c r="K121" s="52">
        <f t="shared" si="26"/>
        <v>67625.100000000006</v>
      </c>
      <c r="L121" s="52">
        <f t="shared" si="26"/>
        <v>67630.47</v>
      </c>
      <c r="M121" s="52">
        <f t="shared" si="26"/>
        <v>67635.179999999993</v>
      </c>
      <c r="N121" s="52">
        <f t="shared" si="26"/>
        <v>69222.38</v>
      </c>
      <c r="O121" s="52">
        <f t="shared" si="26"/>
        <v>67610.039999999994</v>
      </c>
      <c r="P121" s="52">
        <f t="shared" si="26"/>
        <v>67597.09</v>
      </c>
      <c r="Q121" s="52">
        <f t="shared" ref="Q121" si="27">Q92+Q100+Q110+Q120</f>
        <v>817035.35</v>
      </c>
      <c r="R121" s="3">
        <f>Q121/'F&amp;B Summary'!$Q$148</f>
        <v>6.3050148551144032</v>
      </c>
      <c r="S121" s="35"/>
      <c r="T121" s="40" t="e">
        <f t="shared" si="21"/>
        <v>#DIV/0!</v>
      </c>
    </row>
    <row r="122" spans="1:20" s="3" customFormat="1" ht="25.4" customHeight="1">
      <c r="A122" s="54"/>
      <c r="B122" s="51"/>
      <c r="D122" s="21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S122" s="35"/>
      <c r="T122" s="40"/>
    </row>
    <row r="123" spans="1:20" s="399" customFormat="1" ht="25.4" customHeight="1">
      <c r="A123" s="399" t="s">
        <v>108</v>
      </c>
      <c r="B123" s="399" t="s">
        <v>663</v>
      </c>
      <c r="D123" s="79" t="s">
        <v>354</v>
      </c>
      <c r="E123" s="73">
        <v>3</v>
      </c>
      <c r="F123" s="73">
        <v>3</v>
      </c>
      <c r="G123" s="73">
        <v>3</v>
      </c>
      <c r="H123" s="73">
        <v>3</v>
      </c>
      <c r="I123" s="73">
        <v>3</v>
      </c>
      <c r="J123" s="73">
        <v>3</v>
      </c>
      <c r="K123" s="73">
        <v>3</v>
      </c>
      <c r="L123" s="73">
        <v>3</v>
      </c>
      <c r="M123" s="73">
        <v>3</v>
      </c>
      <c r="N123" s="73">
        <v>3</v>
      </c>
      <c r="O123" s="73">
        <v>3</v>
      </c>
      <c r="P123" s="73">
        <v>3</v>
      </c>
      <c r="Q123" s="79">
        <f>SUM(E123:P123)/12</f>
        <v>3</v>
      </c>
      <c r="T123" s="400" t="e">
        <f>-IF(Q123-S123=0,0,(Q123-S123)/S123)</f>
        <v>#DIV/0!</v>
      </c>
    </row>
  </sheetData>
  <phoneticPr fontId="56" type="noConversion"/>
  <dataValidations count="25">
    <dataValidation type="textLength" errorStyle="information" allowBlank="1" showInputMessage="1" showErrorMessage="1" sqref="Q120:Q121 E120:P122 E88:I89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2=0_x000d__x000a_" sqref="R15 E108:P109 Q86 F13:F14 Q90:Q91 Q112:Q119 E112:P115 E94:P99 Q15:Q82 E118:P119">
      <formula1>0</formula1>
      <formula2>300</formula2>
    </dataValidation>
    <dataValidation type="textLength" errorStyle="information" allowBlank="1" showInputMessage="1" showErrorMessage="1" error="XLBVal:6=2737.78_x000d__x000a_" sqref="E116:P116">
      <formula1>0</formula1>
      <formula2>300</formula2>
    </dataValidation>
    <dataValidation type="textLength" errorStyle="information" allowBlank="1" showInputMessage="1" showErrorMessage="1" error="XLBVal:6=4698.75_x000d__x000a_" sqref="E102:P107">
      <formula1>0</formula1>
      <formula2>300</formula2>
    </dataValidation>
    <dataValidation type="textLength" errorStyle="information" allowBlank="1" showInputMessage="1" showErrorMessage="1" error="XLBVal:6=0_x000d__x000a_" sqref="E83:Q83">
      <formula1>0</formula1>
      <formula2>300</formula2>
    </dataValidation>
    <dataValidation type="textLength" errorStyle="information" allowBlank="1" showInputMessage="1" showErrorMessage="1" error="XLBVal:6=3239.86_x000d__x000a_" sqref="E84:Q84">
      <formula1>0</formula1>
      <formula2>300</formula2>
    </dataValidation>
    <dataValidation type="textLength" errorStyle="information" allowBlank="1" showInputMessage="1" showErrorMessage="1" error="XLBVal:6=169013_x000d__x000a_" sqref="Q94:Q99">
      <formula1>0</formula1>
      <formula2>300</formula2>
    </dataValidation>
    <dataValidation type="textLength" errorStyle="information" allowBlank="1" showInputMessage="1" showErrorMessage="1" error="XLBVal:6=877418.59_x000d__x000a_" sqref="E85">
      <formula1>0</formula1>
      <formula2>300</formula2>
    </dataValidation>
    <dataValidation type="textLength" errorStyle="information" allowBlank="1" showInputMessage="1" showErrorMessage="1" error="XLBVal:6=900857.82_x000d__x000a_" sqref="F85">
      <formula1>0</formula1>
      <formula2>300</formula2>
    </dataValidation>
    <dataValidation type="textLength" errorStyle="information" allowBlank="1" showInputMessage="1" showErrorMessage="1" error="XLBVal:6=1064596.75_x000d__x000a_" sqref="G85:P85">
      <formula1>0</formula1>
      <formula2>300</formula2>
    </dataValidation>
    <dataValidation type="textLength" errorStyle="information" allowBlank="1" showInputMessage="1" showErrorMessage="1" error="XLBVal:6=12779429.56_x000d__x000a_" sqref="Q85">
      <formula1>0</formula1>
      <formula2>300</formula2>
    </dataValidation>
    <dataValidation type="textLength" errorStyle="information" allowBlank="1" showInputMessage="1" showErrorMessage="1" error="XLBVal:6=-179373.82_x000d__x000a_" sqref="E86:P86">
      <formula1>0</formula1>
      <formula2>300</formula2>
    </dataValidation>
    <dataValidation type="textLength" errorStyle="information" allowBlank="1" showInputMessage="1" showErrorMessage="1" error="XLBVal:6=3678_x000d__x000a_" sqref="E111:P111 E110:Q110">
      <formula1>0</formula1>
      <formula2>300</formula2>
    </dataValidation>
    <dataValidation type="textLength" errorStyle="information" allowBlank="1" showInputMessage="1" showErrorMessage="1" error="XLBVal:6=4_x000d__x000a_" sqref="E123:P123">
      <formula1>0</formula1>
      <formula2>300</formula2>
    </dataValidation>
    <dataValidation type="textLength" errorStyle="information" allowBlank="1" showInputMessage="1" showErrorMessage="1" error="XLBVal:6=1260_x000d__x000a_" sqref="Q123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293444_x000d__x000a_" sqref="Q102:Q109">
      <formula1>0</formula1>
      <formula2>300</formula2>
    </dataValidation>
    <dataValidation type="textLength" errorStyle="information" allowBlank="1" showInputMessage="1" showErrorMessage="1" error="XLBVal:6=82197.59_x000d__x000a_" sqref="E90:P91">
      <formula1>0</formula1>
      <formula2>300</formula2>
    </dataValidation>
    <dataValidation type="textLength" allowBlank="1" showErrorMessage="1" sqref="P43:P50 E74:K82 O50 N77:N82 E44:O49 L74:L78 M74:N76 M77:M78 O74:P82 L79:M82 F43:O43 E15:E43 F15:P42 E50:E72 F50:N55 O51:P55 F56:P7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U165"/>
  <sheetViews>
    <sheetView zoomScale="55" zoomScaleNormal="55" zoomScaleSheetLayoutView="40" workbookViewId="0">
      <pane xSplit="4" ySplit="10" topLeftCell="I93" activePane="bottomRight" state="frozen"/>
      <selection activeCell="D9" sqref="D9"/>
      <selection pane="topRight" activeCell="D9" sqref="D9"/>
      <selection pane="bottomLeft" activeCell="D9" sqref="D9"/>
      <selection pane="bottomRight" activeCell="S113" sqref="S113"/>
    </sheetView>
  </sheetViews>
  <sheetFormatPr defaultColWidth="8.90625" defaultRowHeight="26.25" customHeight="1" outlineLevelRow="1" outlineLevelCol="1"/>
  <cols>
    <col min="1" max="1" width="20.453125" style="5" hidden="1" customWidth="1" outlineLevel="1"/>
    <col min="2" max="3" width="15.453125" style="5" hidden="1" customWidth="1" outlineLevel="1"/>
    <col min="4" max="4" width="67.90625" style="6" customWidth="1" collapsed="1"/>
    <col min="5" max="9" width="26.08984375" style="7" customWidth="1"/>
    <col min="10" max="11" width="26.08984375" style="139" customWidth="1"/>
    <col min="12" max="12" width="26.08984375" style="5" customWidth="1"/>
    <col min="13" max="17" width="26.08984375" style="139" customWidth="1"/>
    <col min="18" max="18" width="14.90625" style="139" customWidth="1"/>
    <col min="19" max="19" width="22.453125" style="140" customWidth="1"/>
    <col min="20" max="20" width="22.453125" style="166" customWidth="1"/>
    <col min="21" max="21" width="19.90625" style="139" customWidth="1"/>
    <col min="22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  <c r="T1" s="167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  <c r="T2" s="167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  <c r="T3" s="167"/>
    </row>
    <row r="4" spans="1:20" s="138" customFormat="1" ht="25.4" customHeight="1">
      <c r="D4" s="10" t="s">
        <v>15</v>
      </c>
      <c r="E4" s="141"/>
      <c r="F4" s="141"/>
      <c r="G4" s="142"/>
      <c r="H4" s="143"/>
      <c r="I4" s="143"/>
      <c r="L4" s="2"/>
      <c r="S4" s="147"/>
      <c r="T4" s="168"/>
    </row>
    <row r="5" spans="1:20" s="138" customFormat="1" ht="25.4" customHeight="1">
      <c r="D5" s="10" t="s">
        <v>16</v>
      </c>
      <c r="E5" s="141"/>
      <c r="F5" s="141"/>
      <c r="G5" s="142"/>
      <c r="H5" s="143"/>
      <c r="I5" s="143"/>
      <c r="L5" s="2"/>
      <c r="S5" s="147"/>
      <c r="T5" s="168"/>
    </row>
    <row r="6" spans="1:20" s="138" customFormat="1" ht="25.4" customHeight="1">
      <c r="D6" s="10" t="s">
        <v>1143</v>
      </c>
      <c r="E6" s="143"/>
      <c r="F6" s="143"/>
      <c r="G6" s="143"/>
      <c r="H6" s="143"/>
      <c r="I6" s="143"/>
      <c r="L6" s="2"/>
      <c r="S6" s="147"/>
      <c r="T6" s="168"/>
    </row>
    <row r="7" spans="1:20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S7" s="147"/>
      <c r="T7" s="168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/>
      <c r="S9" s="148"/>
      <c r="T9" s="40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  <c r="T11" s="40"/>
    </row>
    <row r="12" spans="1:20" s="77" customFormat="1" ht="25.4" customHeight="1">
      <c r="A12" s="50" t="s">
        <v>439</v>
      </c>
      <c r="B12" s="3" t="s">
        <v>368</v>
      </c>
      <c r="C12" s="3"/>
      <c r="D12" s="26" t="s">
        <v>440</v>
      </c>
      <c r="E12" s="27">
        <v>291000</v>
      </c>
      <c r="F12" s="27">
        <v>400500</v>
      </c>
      <c r="G12" s="27">
        <v>271700</v>
      </c>
      <c r="H12" s="27">
        <v>287400</v>
      </c>
      <c r="I12" s="27">
        <v>318600</v>
      </c>
      <c r="J12" s="27">
        <v>281700</v>
      </c>
      <c r="K12" s="27">
        <v>586600</v>
      </c>
      <c r="L12" s="27">
        <v>611600</v>
      </c>
      <c r="M12" s="27">
        <v>233400</v>
      </c>
      <c r="N12" s="27">
        <v>435200</v>
      </c>
      <c r="O12" s="27">
        <v>406800</v>
      </c>
      <c r="P12" s="27">
        <v>468200</v>
      </c>
      <c r="Q12" s="146">
        <f>SUM(E12:P12)</f>
        <v>4592700</v>
      </c>
      <c r="R12" s="146">
        <f>Q12/Q17</f>
        <v>0.74391369843043875</v>
      </c>
      <c r="S12" s="148"/>
      <c r="T12" s="40"/>
    </row>
    <row r="13" spans="1:20" s="77" customFormat="1" ht="25.4" customHeight="1">
      <c r="A13" s="50" t="s">
        <v>441</v>
      </c>
      <c r="B13" s="3" t="s">
        <v>368</v>
      </c>
      <c r="C13" s="3"/>
      <c r="D13" s="26" t="s">
        <v>442</v>
      </c>
      <c r="E13" s="27">
        <v>58900</v>
      </c>
      <c r="F13" s="27">
        <v>53200</v>
      </c>
      <c r="G13" s="27">
        <v>58900</v>
      </c>
      <c r="H13" s="27">
        <v>57000</v>
      </c>
      <c r="I13" s="27">
        <v>58900</v>
      </c>
      <c r="J13" s="27">
        <v>57000</v>
      </c>
      <c r="K13" s="27">
        <v>58900</v>
      </c>
      <c r="L13" s="27">
        <v>58900</v>
      </c>
      <c r="M13" s="27">
        <v>57000</v>
      </c>
      <c r="N13" s="27">
        <v>58900</v>
      </c>
      <c r="O13" s="27">
        <v>57000</v>
      </c>
      <c r="P13" s="27">
        <v>58900</v>
      </c>
      <c r="Q13" s="134">
        <f>SUM(E13:P13)</f>
        <v>693500</v>
      </c>
      <c r="R13" s="134"/>
      <c r="S13" s="148"/>
      <c r="T13" s="40"/>
    </row>
    <row r="14" spans="1:20" s="77" customFormat="1" ht="25.4" customHeight="1">
      <c r="A14" s="50" t="s">
        <v>443</v>
      </c>
      <c r="B14" s="3" t="s">
        <v>368</v>
      </c>
      <c r="C14" s="3"/>
      <c r="D14" s="26" t="s">
        <v>444</v>
      </c>
      <c r="E14" s="27">
        <v>62000</v>
      </c>
      <c r="F14" s="27">
        <v>56000</v>
      </c>
      <c r="G14" s="27">
        <v>62000</v>
      </c>
      <c r="H14" s="27">
        <v>60000</v>
      </c>
      <c r="I14" s="27">
        <v>62000</v>
      </c>
      <c r="J14" s="27">
        <v>60000</v>
      </c>
      <c r="K14" s="27">
        <v>62000</v>
      </c>
      <c r="L14" s="27">
        <v>62000</v>
      </c>
      <c r="M14" s="27">
        <v>60000</v>
      </c>
      <c r="N14" s="27">
        <v>62000</v>
      </c>
      <c r="O14" s="27">
        <v>60000</v>
      </c>
      <c r="P14" s="27">
        <v>62000</v>
      </c>
      <c r="Q14" s="134">
        <f>SUM(E14:P14)</f>
        <v>730000</v>
      </c>
      <c r="R14" s="134"/>
      <c r="S14" s="148"/>
      <c r="T14" s="40"/>
    </row>
    <row r="15" spans="1:20" s="77" customFormat="1" ht="25.4" customHeight="1">
      <c r="A15" s="50" t="s">
        <v>445</v>
      </c>
      <c r="B15" s="3" t="s">
        <v>368</v>
      </c>
      <c r="C15" s="3"/>
      <c r="D15" s="26" t="s">
        <v>446</v>
      </c>
      <c r="E15" s="27">
        <v>13300</v>
      </c>
      <c r="F15" s="27">
        <v>12400</v>
      </c>
      <c r="G15" s="27">
        <v>13300</v>
      </c>
      <c r="H15" s="27">
        <v>13000</v>
      </c>
      <c r="I15" s="27">
        <v>13300</v>
      </c>
      <c r="J15" s="27">
        <v>13000</v>
      </c>
      <c r="K15" s="27">
        <v>13300</v>
      </c>
      <c r="L15" s="27">
        <v>13300</v>
      </c>
      <c r="M15" s="27">
        <v>13000</v>
      </c>
      <c r="N15" s="27">
        <v>13300</v>
      </c>
      <c r="O15" s="27">
        <v>13000</v>
      </c>
      <c r="P15" s="27">
        <v>13300</v>
      </c>
      <c r="Q15" s="134">
        <f>SUM(E15:P15)</f>
        <v>157500</v>
      </c>
      <c r="R15" s="134"/>
      <c r="S15" s="148"/>
      <c r="T15" s="40"/>
    </row>
    <row r="16" spans="1:20" s="77" customFormat="1" ht="25.4" customHeight="1">
      <c r="A16" s="50" t="s">
        <v>447</v>
      </c>
      <c r="B16" s="3" t="s">
        <v>368</v>
      </c>
      <c r="C16" s="3"/>
      <c r="D16" s="26" t="s">
        <v>448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134">
        <f>SUM(E16:P16)</f>
        <v>0</v>
      </c>
      <c r="R16" s="134"/>
      <c r="S16" s="148"/>
      <c r="T16" s="40"/>
    </row>
    <row r="17" spans="1:20" s="77" customFormat="1" ht="25.4" customHeight="1">
      <c r="A17" s="3"/>
      <c r="B17" s="3"/>
      <c r="C17" s="3"/>
      <c r="D17" s="21" t="s">
        <v>397</v>
      </c>
      <c r="E17" s="45">
        <f>SUM(E12:E16)</f>
        <v>425200</v>
      </c>
      <c r="F17" s="45">
        <f t="shared" ref="F17:Q17" si="0">SUM(F12:F16)</f>
        <v>522100</v>
      </c>
      <c r="G17" s="45">
        <f t="shared" si="0"/>
        <v>405900</v>
      </c>
      <c r="H17" s="45">
        <f t="shared" si="0"/>
        <v>417400</v>
      </c>
      <c r="I17" s="45">
        <f t="shared" si="0"/>
        <v>452800</v>
      </c>
      <c r="J17" s="45">
        <f t="shared" si="0"/>
        <v>411700</v>
      </c>
      <c r="K17" s="45">
        <f t="shared" si="0"/>
        <v>720800</v>
      </c>
      <c r="L17" s="45">
        <f t="shared" si="0"/>
        <v>745800</v>
      </c>
      <c r="M17" s="45">
        <f t="shared" si="0"/>
        <v>363400</v>
      </c>
      <c r="N17" s="45">
        <f t="shared" si="0"/>
        <v>569400</v>
      </c>
      <c r="O17" s="45">
        <f t="shared" si="0"/>
        <v>536800</v>
      </c>
      <c r="P17" s="45">
        <f t="shared" si="0"/>
        <v>602400</v>
      </c>
      <c r="Q17" s="45">
        <f t="shared" si="0"/>
        <v>6173700</v>
      </c>
      <c r="R17" s="45"/>
      <c r="S17" s="148"/>
      <c r="T17" s="40"/>
    </row>
    <row r="18" spans="1:20" s="77" customFormat="1" ht="25.4" customHeight="1">
      <c r="A18" s="3"/>
      <c r="B18" s="3"/>
      <c r="C18" s="3"/>
      <c r="D18" s="2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S18" s="148"/>
      <c r="T18" s="40"/>
    </row>
    <row r="19" spans="1:20" s="77" customFormat="1" ht="25.4" customHeight="1">
      <c r="A19" s="3"/>
      <c r="B19" s="3"/>
      <c r="C19" s="3"/>
      <c r="D19" s="21" t="s">
        <v>398</v>
      </c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S19" s="148"/>
      <c r="T19" s="40"/>
    </row>
    <row r="20" spans="1:20" s="77" customFormat="1" ht="25.4" customHeight="1">
      <c r="A20" s="50" t="s">
        <v>449</v>
      </c>
      <c r="B20" s="3" t="s">
        <v>368</v>
      </c>
      <c r="C20" s="3"/>
      <c r="D20" s="26" t="s">
        <v>440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34">
        <f>SUM(E20:P20)</f>
        <v>0</v>
      </c>
      <c r="R20" s="134"/>
      <c r="S20" s="148"/>
      <c r="T20" s="40"/>
    </row>
    <row r="21" spans="1:20" s="77" customFormat="1" ht="25.4" customHeight="1">
      <c r="A21" s="50" t="s">
        <v>450</v>
      </c>
      <c r="B21" s="3" t="s">
        <v>368</v>
      </c>
      <c r="C21" s="3"/>
      <c r="D21" s="26" t="s">
        <v>442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34">
        <f t="shared" ref="Q21:Q24" si="1">SUM(E21:P21)</f>
        <v>0</v>
      </c>
      <c r="R21" s="134"/>
      <c r="S21" s="148"/>
      <c r="T21" s="40"/>
    </row>
    <row r="22" spans="1:20" s="77" customFormat="1" ht="25.4" customHeight="1">
      <c r="A22" s="50" t="s">
        <v>451</v>
      </c>
      <c r="B22" s="3" t="s">
        <v>368</v>
      </c>
      <c r="C22" s="3"/>
      <c r="D22" s="26" t="s">
        <v>444</v>
      </c>
      <c r="E22" s="27">
        <v>3720</v>
      </c>
      <c r="F22" s="27">
        <v>3920</v>
      </c>
      <c r="G22" s="27">
        <v>4960</v>
      </c>
      <c r="H22" s="27">
        <v>4800</v>
      </c>
      <c r="I22" s="27">
        <v>4960</v>
      </c>
      <c r="J22" s="27">
        <v>4800</v>
      </c>
      <c r="K22" s="27">
        <v>6200</v>
      </c>
      <c r="L22" s="27">
        <v>6200</v>
      </c>
      <c r="M22" s="27">
        <v>6000</v>
      </c>
      <c r="N22" s="27">
        <v>6200</v>
      </c>
      <c r="O22" s="27">
        <v>6000</v>
      </c>
      <c r="P22" s="27">
        <v>6200</v>
      </c>
      <c r="Q22" s="134">
        <f t="shared" si="1"/>
        <v>63960</v>
      </c>
      <c r="R22" s="134"/>
      <c r="S22" s="148"/>
      <c r="T22" s="40"/>
    </row>
    <row r="23" spans="1:20" s="77" customFormat="1" ht="25.4" customHeight="1">
      <c r="A23" s="50" t="s">
        <v>452</v>
      </c>
      <c r="B23" s="3" t="s">
        <v>368</v>
      </c>
      <c r="C23" s="3"/>
      <c r="D23" s="26" t="s">
        <v>446</v>
      </c>
      <c r="E23" s="27">
        <v>1860</v>
      </c>
      <c r="F23" s="27">
        <v>1680</v>
      </c>
      <c r="G23" s="27">
        <v>1860</v>
      </c>
      <c r="H23" s="27">
        <v>1800</v>
      </c>
      <c r="I23" s="27">
        <v>1860</v>
      </c>
      <c r="J23" s="27">
        <v>1800</v>
      </c>
      <c r="K23" s="27">
        <v>1860</v>
      </c>
      <c r="L23" s="27">
        <v>1860</v>
      </c>
      <c r="M23" s="27">
        <v>1800</v>
      </c>
      <c r="N23" s="27">
        <v>1860</v>
      </c>
      <c r="O23" s="27">
        <v>1800</v>
      </c>
      <c r="P23" s="27">
        <v>1860</v>
      </c>
      <c r="Q23" s="134">
        <f t="shared" si="1"/>
        <v>21900</v>
      </c>
      <c r="R23" s="134"/>
      <c r="S23" s="148"/>
      <c r="T23" s="40"/>
    </row>
    <row r="24" spans="1:20" s="77" customFormat="1" ht="25.4" customHeight="1">
      <c r="A24" s="50" t="s">
        <v>453</v>
      </c>
      <c r="B24" s="3" t="s">
        <v>368</v>
      </c>
      <c r="C24" s="3"/>
      <c r="D24" s="26" t="s">
        <v>448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134">
        <f t="shared" si="1"/>
        <v>0</v>
      </c>
      <c r="R24" s="134"/>
      <c r="S24" s="148"/>
      <c r="T24" s="40"/>
    </row>
    <row r="25" spans="1:20" s="77" customFormat="1" ht="25.4" customHeight="1">
      <c r="A25" s="3"/>
      <c r="B25" s="3"/>
      <c r="C25" s="3"/>
      <c r="D25" s="21" t="s">
        <v>401</v>
      </c>
      <c r="E25" s="45">
        <f>SUM(E20:E24)</f>
        <v>5580</v>
      </c>
      <c r="F25" s="45">
        <f>SUM(F20:F24)</f>
        <v>5600</v>
      </c>
      <c r="G25" s="45">
        <f t="shared" ref="G25:Q25" si="2">SUM(G20:G24)</f>
        <v>6820</v>
      </c>
      <c r="H25" s="45">
        <f t="shared" si="2"/>
        <v>6600</v>
      </c>
      <c r="I25" s="45">
        <f t="shared" si="2"/>
        <v>6820</v>
      </c>
      <c r="J25" s="45">
        <f t="shared" si="2"/>
        <v>6600</v>
      </c>
      <c r="K25" s="45">
        <f t="shared" si="2"/>
        <v>8060</v>
      </c>
      <c r="L25" s="45">
        <f t="shared" si="2"/>
        <v>8060</v>
      </c>
      <c r="M25" s="45">
        <f t="shared" si="2"/>
        <v>7800</v>
      </c>
      <c r="N25" s="45">
        <f t="shared" si="2"/>
        <v>8060</v>
      </c>
      <c r="O25" s="45">
        <f t="shared" si="2"/>
        <v>7800</v>
      </c>
      <c r="P25" s="45">
        <f t="shared" si="2"/>
        <v>8060</v>
      </c>
      <c r="Q25" s="45">
        <f t="shared" si="2"/>
        <v>85860</v>
      </c>
      <c r="R25" s="45"/>
      <c r="S25" s="148"/>
      <c r="T25" s="40"/>
    </row>
    <row r="26" spans="1:20" s="77" customFormat="1" ht="25.4" customHeight="1">
      <c r="A26" s="50" t="s">
        <v>407</v>
      </c>
      <c r="B26" s="3" t="s">
        <v>368</v>
      </c>
      <c r="C26" s="3"/>
      <c r="D26" s="26" t="s">
        <v>408</v>
      </c>
      <c r="E26" s="63"/>
      <c r="F26" s="63"/>
      <c r="G26" s="63"/>
      <c r="H26" s="63"/>
      <c r="I26" s="63"/>
      <c r="J26" s="63"/>
      <c r="K26" s="63"/>
      <c r="L26" s="63"/>
      <c r="M26" s="27"/>
      <c r="N26" s="27"/>
      <c r="O26" s="27"/>
      <c r="P26" s="27"/>
      <c r="Q26" s="134">
        <f>SUM(E26:P26)</f>
        <v>0</v>
      </c>
      <c r="R26" s="134"/>
      <c r="S26" s="148"/>
      <c r="T26" s="40"/>
    </row>
    <row r="27" spans="1:20" s="77" customFormat="1" ht="25.4" customHeight="1">
      <c r="A27" s="50" t="s">
        <v>128</v>
      </c>
      <c r="B27" s="3" t="s">
        <v>368</v>
      </c>
      <c r="C27" s="3"/>
      <c r="D27" s="26" t="s">
        <v>409</v>
      </c>
      <c r="E27" s="63">
        <f>+(E17+E25)*0.1</f>
        <v>43078</v>
      </c>
      <c r="F27" s="63">
        <f t="shared" ref="F27:P27" si="3">+(F17+F25)*0.1</f>
        <v>52770</v>
      </c>
      <c r="G27" s="63">
        <f t="shared" si="3"/>
        <v>41272</v>
      </c>
      <c r="H27" s="63">
        <f t="shared" si="3"/>
        <v>42400</v>
      </c>
      <c r="I27" s="63">
        <f t="shared" si="3"/>
        <v>45962</v>
      </c>
      <c r="J27" s="63">
        <f t="shared" si="3"/>
        <v>41830</v>
      </c>
      <c r="K27" s="63">
        <f t="shared" si="3"/>
        <v>72886</v>
      </c>
      <c r="L27" s="63">
        <f t="shared" si="3"/>
        <v>75386</v>
      </c>
      <c r="M27" s="63">
        <f t="shared" si="3"/>
        <v>37120</v>
      </c>
      <c r="N27" s="63">
        <f t="shared" si="3"/>
        <v>57746</v>
      </c>
      <c r="O27" s="63">
        <f t="shared" si="3"/>
        <v>54460</v>
      </c>
      <c r="P27" s="63">
        <f t="shared" si="3"/>
        <v>61046</v>
      </c>
      <c r="Q27" s="134">
        <f>SUM(E27:P27)</f>
        <v>625956</v>
      </c>
      <c r="R27" s="134"/>
      <c r="S27" s="148"/>
      <c r="T27" s="40"/>
    </row>
    <row r="28" spans="1:20" s="77" customFormat="1" ht="25.4" customHeight="1">
      <c r="A28" s="50"/>
      <c r="B28" s="3"/>
      <c r="C28" s="3"/>
      <c r="D28" s="21" t="s">
        <v>410</v>
      </c>
      <c r="E28" s="45">
        <f>E17+E25+E26+E27</f>
        <v>473858</v>
      </c>
      <c r="F28" s="45">
        <f t="shared" ref="F28:Q28" si="4">F17+F25+F26+F27</f>
        <v>580470</v>
      </c>
      <c r="G28" s="45">
        <f t="shared" si="4"/>
        <v>453992</v>
      </c>
      <c r="H28" s="45">
        <f t="shared" si="4"/>
        <v>466400</v>
      </c>
      <c r="I28" s="45">
        <f t="shared" si="4"/>
        <v>505582</v>
      </c>
      <c r="J28" s="45">
        <f t="shared" si="4"/>
        <v>460130</v>
      </c>
      <c r="K28" s="45">
        <f t="shared" si="4"/>
        <v>801746</v>
      </c>
      <c r="L28" s="45">
        <f t="shared" si="4"/>
        <v>829246</v>
      </c>
      <c r="M28" s="45">
        <f t="shared" si="4"/>
        <v>408320</v>
      </c>
      <c r="N28" s="45">
        <f t="shared" si="4"/>
        <v>635206</v>
      </c>
      <c r="O28" s="45">
        <f t="shared" si="4"/>
        <v>599060</v>
      </c>
      <c r="P28" s="45">
        <f t="shared" si="4"/>
        <v>671506</v>
      </c>
      <c r="Q28" s="45">
        <f t="shared" si="4"/>
        <v>6885516</v>
      </c>
      <c r="R28" s="45"/>
      <c r="S28" s="148"/>
      <c r="T28" s="40"/>
    </row>
    <row r="29" spans="1:20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63"/>
      <c r="K29" s="63"/>
      <c r="L29" s="63"/>
      <c r="S29" s="148"/>
      <c r="T29" s="40"/>
    </row>
    <row r="30" spans="1:20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63"/>
      <c r="K30" s="63"/>
      <c r="L30" s="63"/>
      <c r="S30" s="148"/>
      <c r="T30" s="40"/>
    </row>
    <row r="31" spans="1:20" s="319" customFormat="1" ht="25.4" customHeight="1">
      <c r="A31" s="322" t="s">
        <v>412</v>
      </c>
      <c r="B31" s="306" t="s">
        <v>368</v>
      </c>
      <c r="C31" s="306"/>
      <c r="D31" s="26" t="s">
        <v>413</v>
      </c>
      <c r="E31" s="63">
        <f>ROUND(E17*43%,2)</f>
        <v>182836</v>
      </c>
      <c r="F31" s="63">
        <f t="shared" ref="F31:P31" si="5">ROUND(F17*43%,2)</f>
        <v>224503</v>
      </c>
      <c r="G31" s="63">
        <f t="shared" si="5"/>
        <v>174537</v>
      </c>
      <c r="H31" s="63">
        <f t="shared" si="5"/>
        <v>179482</v>
      </c>
      <c r="I31" s="63">
        <f t="shared" si="5"/>
        <v>194704</v>
      </c>
      <c r="J31" s="63">
        <f t="shared" si="5"/>
        <v>177031</v>
      </c>
      <c r="K31" s="63">
        <f t="shared" si="5"/>
        <v>309944</v>
      </c>
      <c r="L31" s="63">
        <f t="shared" si="5"/>
        <v>320694</v>
      </c>
      <c r="M31" s="63">
        <f t="shared" si="5"/>
        <v>156262</v>
      </c>
      <c r="N31" s="63">
        <f t="shared" si="5"/>
        <v>244842</v>
      </c>
      <c r="O31" s="63">
        <f t="shared" si="5"/>
        <v>230824</v>
      </c>
      <c r="P31" s="63">
        <f t="shared" si="5"/>
        <v>259032</v>
      </c>
      <c r="Q31" s="134">
        <f>SUM(E31:P31)</f>
        <v>2654691</v>
      </c>
      <c r="R31" s="159">
        <f>Q31/Q17</f>
        <v>0.43</v>
      </c>
      <c r="T31" s="308"/>
    </row>
    <row r="32" spans="1:20" s="319" customFormat="1" ht="25.4" customHeight="1">
      <c r="A32" s="306" t="s">
        <v>414</v>
      </c>
      <c r="B32" s="306" t="s">
        <v>368</v>
      </c>
      <c r="C32" s="306"/>
      <c r="D32" s="26" t="s">
        <v>415</v>
      </c>
      <c r="E32" s="63">
        <f>ROUND(E25*28%,2)</f>
        <v>1562.4</v>
      </c>
      <c r="F32" s="63">
        <f t="shared" ref="F32:P32" si="6">ROUND(F25*28%,2)</f>
        <v>1568</v>
      </c>
      <c r="G32" s="63">
        <f t="shared" si="6"/>
        <v>1909.6</v>
      </c>
      <c r="H32" s="63">
        <f t="shared" si="6"/>
        <v>1848</v>
      </c>
      <c r="I32" s="63">
        <f t="shared" si="6"/>
        <v>1909.6</v>
      </c>
      <c r="J32" s="63">
        <f t="shared" si="6"/>
        <v>1848</v>
      </c>
      <c r="K32" s="63">
        <f t="shared" si="6"/>
        <v>2256.8000000000002</v>
      </c>
      <c r="L32" s="63">
        <f t="shared" si="6"/>
        <v>2256.8000000000002</v>
      </c>
      <c r="M32" s="63">
        <f t="shared" si="6"/>
        <v>2184</v>
      </c>
      <c r="N32" s="63">
        <f t="shared" si="6"/>
        <v>2256.8000000000002</v>
      </c>
      <c r="O32" s="63">
        <f t="shared" si="6"/>
        <v>2184</v>
      </c>
      <c r="P32" s="63">
        <f t="shared" si="6"/>
        <v>2256.8000000000002</v>
      </c>
      <c r="Q32" s="134">
        <f>SUM(E32:P32)</f>
        <v>24040.799999999999</v>
      </c>
      <c r="R32" s="159">
        <f>Q32/Q25</f>
        <v>0.27999999999999997</v>
      </c>
      <c r="T32" s="308"/>
    </row>
    <row r="33" spans="1:20" s="77" customFormat="1" ht="25.4" customHeight="1">
      <c r="A33" s="3" t="s">
        <v>454</v>
      </c>
      <c r="B33" s="3" t="s">
        <v>368</v>
      </c>
      <c r="C33" s="3"/>
      <c r="D33" s="26" t="s">
        <v>463</v>
      </c>
      <c r="E33" s="63"/>
      <c r="F33" s="63">
        <f>ROUND(F26*65%,2)</f>
        <v>0</v>
      </c>
      <c r="G33" s="63"/>
      <c r="H33" s="63"/>
      <c r="I33" s="63"/>
      <c r="J33" s="63">
        <f>ROUND(J26*65%,2)</f>
        <v>0</v>
      </c>
      <c r="K33" s="63"/>
      <c r="L33" s="63"/>
      <c r="M33" s="63">
        <f>ROUND(M26*65%,2)</f>
        <v>0</v>
      </c>
      <c r="N33" s="63"/>
      <c r="O33" s="63"/>
      <c r="P33" s="63"/>
      <c r="Q33" s="134">
        <f>SUM(E33:P33)</f>
        <v>0</v>
      </c>
      <c r="R33" s="159"/>
      <c r="S33" s="148"/>
      <c r="T33" s="40"/>
    </row>
    <row r="34" spans="1:20" s="77" customFormat="1" ht="25.4" customHeight="1">
      <c r="A34" s="3"/>
      <c r="B34" s="3"/>
      <c r="C34" s="3"/>
      <c r="D34" s="21" t="s">
        <v>420</v>
      </c>
      <c r="E34" s="45">
        <f>+SUM(E31:E33)</f>
        <v>184398.4</v>
      </c>
      <c r="F34" s="45">
        <f t="shared" ref="F34:P34" si="7">+SUM(F31:F33)</f>
        <v>226071</v>
      </c>
      <c r="G34" s="45">
        <f t="shared" si="7"/>
        <v>176446.6</v>
      </c>
      <c r="H34" s="45">
        <f t="shared" si="7"/>
        <v>181330</v>
      </c>
      <c r="I34" s="45">
        <f t="shared" si="7"/>
        <v>196613.6</v>
      </c>
      <c r="J34" s="45">
        <f t="shared" si="7"/>
        <v>178879</v>
      </c>
      <c r="K34" s="45">
        <f t="shared" si="7"/>
        <v>312200.8</v>
      </c>
      <c r="L34" s="45">
        <f t="shared" si="7"/>
        <v>322950.8</v>
      </c>
      <c r="M34" s="45">
        <f t="shared" si="7"/>
        <v>158446</v>
      </c>
      <c r="N34" s="45">
        <f t="shared" si="7"/>
        <v>247098.8</v>
      </c>
      <c r="O34" s="45">
        <f t="shared" si="7"/>
        <v>233008</v>
      </c>
      <c r="P34" s="45">
        <f t="shared" si="7"/>
        <v>261288.8</v>
      </c>
      <c r="Q34" s="45">
        <f>SUM(Q31:Q33)</f>
        <v>2678731.7999999998</v>
      </c>
      <c r="R34" s="149">
        <f>Q34/$Q$28</f>
        <v>0.38903864285552453</v>
      </c>
      <c r="S34" s="148"/>
      <c r="T34" s="40"/>
    </row>
    <row r="35" spans="1:20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63"/>
      <c r="K35" s="63"/>
      <c r="L35" s="63"/>
      <c r="Q35" s="150"/>
      <c r="S35" s="148"/>
      <c r="T35" s="40"/>
    </row>
    <row r="36" spans="1:20" s="77" customFormat="1" ht="25.4" customHeight="1">
      <c r="A36" s="3" t="s">
        <v>106</v>
      </c>
      <c r="B36" s="3" t="s">
        <v>368</v>
      </c>
      <c r="C36" s="3"/>
      <c r="D36" s="21" t="s">
        <v>139</v>
      </c>
      <c r="E36" s="45">
        <f>+E163</f>
        <v>350712.24</v>
      </c>
      <c r="F36" s="45">
        <f t="shared" ref="F36:P36" si="8">+F163</f>
        <v>312506.09999999998</v>
      </c>
      <c r="G36" s="45">
        <f t="shared" si="8"/>
        <v>311318.82</v>
      </c>
      <c r="H36" s="45">
        <f t="shared" si="8"/>
        <v>322903.43</v>
      </c>
      <c r="I36" s="45">
        <f t="shared" si="8"/>
        <v>329527.64</v>
      </c>
      <c r="J36" s="45">
        <f t="shared" si="8"/>
        <v>333303.2</v>
      </c>
      <c r="K36" s="45">
        <f t="shared" si="8"/>
        <v>332778.53999999998</v>
      </c>
      <c r="L36" s="45">
        <f t="shared" si="8"/>
        <v>332844.76999999996</v>
      </c>
      <c r="M36" s="45">
        <f t="shared" si="8"/>
        <v>332902.86</v>
      </c>
      <c r="N36" s="45">
        <f t="shared" si="8"/>
        <v>375333.56999999995</v>
      </c>
      <c r="O36" s="45">
        <f t="shared" si="8"/>
        <v>344635.2900000001</v>
      </c>
      <c r="P36" s="45">
        <f t="shared" si="8"/>
        <v>344470.75</v>
      </c>
      <c r="Q36" s="45">
        <f>SUM(E36:P36)</f>
        <v>4023237.2099999995</v>
      </c>
      <c r="R36" s="149">
        <f>Q36/$Q$28</f>
        <v>0.58430438764502168</v>
      </c>
      <c r="S36" s="148"/>
      <c r="T36" s="40"/>
    </row>
    <row r="37" spans="1:20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63"/>
      <c r="K37" s="63"/>
      <c r="L37" s="63"/>
      <c r="S37" s="148"/>
      <c r="T37" s="40"/>
    </row>
    <row r="38" spans="1:20" s="77" customFormat="1" ht="25.4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63"/>
      <c r="K38" s="63"/>
      <c r="L38" s="63"/>
      <c r="R38" s="34" t="s">
        <v>421</v>
      </c>
      <c r="S38" s="148"/>
      <c r="T38" s="40"/>
    </row>
    <row r="39" spans="1:20" s="77" customFormat="1" ht="25.4" customHeight="1">
      <c r="A39" s="3" t="s">
        <v>142</v>
      </c>
      <c r="B39" s="3" t="s">
        <v>368</v>
      </c>
      <c r="C39" s="3"/>
      <c r="D39" s="26" t="s">
        <v>143</v>
      </c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>
        <f t="shared" ref="Q39:Q102" si="9">SUM(E39:P39)</f>
        <v>0</v>
      </c>
      <c r="R39" s="134">
        <f>Q39/$Q$117</f>
        <v>0</v>
      </c>
      <c r="S39" s="148"/>
      <c r="T39" s="40"/>
    </row>
    <row r="40" spans="1:20" s="77" customFormat="1" ht="25.4" customHeight="1">
      <c r="A40" s="3" t="s">
        <v>144</v>
      </c>
      <c r="B40" s="3" t="s">
        <v>368</v>
      </c>
      <c r="C40" s="3"/>
      <c r="D40" s="26" t="s">
        <v>145</v>
      </c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>
        <f t="shared" si="9"/>
        <v>0</v>
      </c>
      <c r="R40" s="134">
        <f t="shared" ref="R40:R103" si="10">Q40/$Q$117</f>
        <v>0</v>
      </c>
      <c r="S40" s="148"/>
      <c r="T40" s="40"/>
    </row>
    <row r="41" spans="1:20" s="77" customFormat="1" ht="25.4" customHeight="1">
      <c r="A41" s="3" t="s">
        <v>146</v>
      </c>
      <c r="B41" s="3" t="s">
        <v>368</v>
      </c>
      <c r="C41" s="3"/>
      <c r="D41" s="26" t="s">
        <v>147</v>
      </c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>
        <f t="shared" si="9"/>
        <v>0</v>
      </c>
      <c r="R41" s="134">
        <f t="shared" si="10"/>
        <v>0</v>
      </c>
      <c r="S41" s="148"/>
      <c r="T41" s="40"/>
    </row>
    <row r="42" spans="1:20" s="77" customFormat="1" ht="25.4" customHeight="1">
      <c r="A42" s="3" t="s">
        <v>148</v>
      </c>
      <c r="B42" s="3" t="s">
        <v>368</v>
      </c>
      <c r="C42" s="3"/>
      <c r="D42" s="26" t="s">
        <v>149</v>
      </c>
      <c r="E42" s="386">
        <v>1500</v>
      </c>
      <c r="F42" s="386">
        <v>1500</v>
      </c>
      <c r="G42" s="386">
        <v>2000</v>
      </c>
      <c r="H42" s="386">
        <v>1500</v>
      </c>
      <c r="I42" s="386">
        <v>2000</v>
      </c>
      <c r="J42" s="386">
        <v>1500</v>
      </c>
      <c r="K42" s="386">
        <v>1500</v>
      </c>
      <c r="L42" s="386">
        <v>1500</v>
      </c>
      <c r="M42" s="386">
        <v>1500</v>
      </c>
      <c r="N42" s="386">
        <v>2000</v>
      </c>
      <c r="O42" s="386">
        <v>2000</v>
      </c>
      <c r="P42" s="386">
        <v>2000</v>
      </c>
      <c r="Q42" s="386">
        <f t="shared" si="9"/>
        <v>20500</v>
      </c>
      <c r="R42" s="134">
        <f t="shared" si="10"/>
        <v>0.37407393890733914</v>
      </c>
      <c r="S42" s="148"/>
      <c r="T42" s="40"/>
    </row>
    <row r="43" spans="1:20" s="77" customFormat="1" ht="25.4" customHeight="1">
      <c r="A43" s="3" t="s">
        <v>150</v>
      </c>
      <c r="B43" s="3" t="s">
        <v>368</v>
      </c>
      <c r="C43" s="3"/>
      <c r="D43" s="26" t="s">
        <v>151</v>
      </c>
      <c r="E43" s="386">
        <v>0</v>
      </c>
      <c r="F43" s="386">
        <v>0</v>
      </c>
      <c r="G43" s="386">
        <v>0</v>
      </c>
      <c r="H43" s="386">
        <v>0</v>
      </c>
      <c r="I43" s="386">
        <v>0</v>
      </c>
      <c r="J43" s="386">
        <v>0</v>
      </c>
      <c r="K43" s="386">
        <v>0</v>
      </c>
      <c r="L43" s="386">
        <v>0</v>
      </c>
      <c r="M43" s="386">
        <v>0</v>
      </c>
      <c r="N43" s="386">
        <v>0</v>
      </c>
      <c r="O43" s="386">
        <v>0</v>
      </c>
      <c r="P43" s="386">
        <v>0</v>
      </c>
      <c r="Q43" s="386">
        <f t="shared" si="9"/>
        <v>0</v>
      </c>
      <c r="R43" s="134">
        <f t="shared" si="10"/>
        <v>0</v>
      </c>
      <c r="S43" s="148"/>
      <c r="T43" s="40"/>
    </row>
    <row r="44" spans="1:20" s="77" customFormat="1" ht="25.4" customHeight="1">
      <c r="A44" s="3" t="s">
        <v>152</v>
      </c>
      <c r="B44" s="3" t="s">
        <v>368</v>
      </c>
      <c r="C44" s="3"/>
      <c r="D44" s="26" t="s">
        <v>153</v>
      </c>
      <c r="E44" s="386">
        <v>0</v>
      </c>
      <c r="F44" s="386">
        <v>0</v>
      </c>
      <c r="G44" s="386">
        <v>0</v>
      </c>
      <c r="H44" s="386">
        <v>0</v>
      </c>
      <c r="I44" s="386">
        <v>0</v>
      </c>
      <c r="J44" s="386">
        <v>0</v>
      </c>
      <c r="K44" s="386">
        <v>0</v>
      </c>
      <c r="L44" s="386">
        <v>0</v>
      </c>
      <c r="M44" s="386">
        <v>0</v>
      </c>
      <c r="N44" s="386">
        <v>0</v>
      </c>
      <c r="O44" s="386">
        <v>0</v>
      </c>
      <c r="P44" s="386">
        <v>0</v>
      </c>
      <c r="Q44" s="386">
        <f t="shared" si="9"/>
        <v>0</v>
      </c>
      <c r="R44" s="134">
        <f t="shared" si="10"/>
        <v>0</v>
      </c>
      <c r="S44" s="148"/>
      <c r="T44" s="40"/>
    </row>
    <row r="45" spans="1:20" s="77" customFormat="1" ht="25.4" customHeight="1">
      <c r="A45" s="3" t="s">
        <v>154</v>
      </c>
      <c r="B45" s="3" t="s">
        <v>368</v>
      </c>
      <c r="C45" s="3"/>
      <c r="D45" s="26" t="s">
        <v>155</v>
      </c>
      <c r="E45" s="386"/>
      <c r="F45" s="386"/>
      <c r="G45" s="386">
        <v>1500</v>
      </c>
      <c r="H45" s="386"/>
      <c r="I45" s="386"/>
      <c r="J45" s="386">
        <v>1500</v>
      </c>
      <c r="K45" s="386"/>
      <c r="L45" s="386"/>
      <c r="M45" s="386">
        <v>1500</v>
      </c>
      <c r="N45" s="386"/>
      <c r="O45" s="386"/>
      <c r="P45" s="386">
        <v>1500</v>
      </c>
      <c r="Q45" s="386">
        <f t="shared" si="9"/>
        <v>6000</v>
      </c>
      <c r="R45" s="134">
        <f t="shared" si="10"/>
        <v>0.10948505528995292</v>
      </c>
      <c r="S45" s="148"/>
      <c r="T45" s="40"/>
    </row>
    <row r="46" spans="1:20" s="77" customFormat="1" ht="25.4" customHeight="1">
      <c r="A46" s="3" t="s">
        <v>156</v>
      </c>
      <c r="B46" s="3" t="s">
        <v>368</v>
      </c>
      <c r="C46" s="3"/>
      <c r="D46" s="26" t="s">
        <v>157</v>
      </c>
      <c r="E46" s="386">
        <f>ROUND(E117*1.5,2)</f>
        <v>5494.5</v>
      </c>
      <c r="F46" s="386">
        <f t="shared" ref="F46:P46" si="11">ROUND(F117*1.5,2)</f>
        <v>7033.5</v>
      </c>
      <c r="G46" s="386">
        <f t="shared" si="11"/>
        <v>5205</v>
      </c>
      <c r="H46" s="386">
        <f t="shared" si="11"/>
        <v>5406</v>
      </c>
      <c r="I46" s="386">
        <f t="shared" si="11"/>
        <v>5908.5</v>
      </c>
      <c r="J46" s="386">
        <f t="shared" si="11"/>
        <v>5320.5</v>
      </c>
      <c r="K46" s="386">
        <f t="shared" si="11"/>
        <v>9928.5</v>
      </c>
      <c r="L46" s="386">
        <f t="shared" si="11"/>
        <v>10303.5</v>
      </c>
      <c r="M46" s="386">
        <f t="shared" si="11"/>
        <v>4596</v>
      </c>
      <c r="N46" s="386">
        <f t="shared" si="11"/>
        <v>7657.5</v>
      </c>
      <c r="O46" s="386">
        <f t="shared" si="11"/>
        <v>7197</v>
      </c>
      <c r="P46" s="386">
        <f t="shared" si="11"/>
        <v>8152.5</v>
      </c>
      <c r="Q46" s="386">
        <f t="shared" si="9"/>
        <v>82203</v>
      </c>
      <c r="R46" s="134">
        <f t="shared" si="10"/>
        <v>1.5</v>
      </c>
      <c r="S46" s="148"/>
      <c r="T46" s="40"/>
    </row>
    <row r="47" spans="1:20" s="77" customFormat="1" ht="25.4" customHeight="1">
      <c r="A47" s="3" t="s">
        <v>158</v>
      </c>
      <c r="B47" s="3" t="s">
        <v>368</v>
      </c>
      <c r="C47" s="3"/>
      <c r="D47" s="26" t="s">
        <v>159</v>
      </c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>
        <f t="shared" si="9"/>
        <v>0</v>
      </c>
      <c r="R47" s="134">
        <f t="shared" si="10"/>
        <v>0</v>
      </c>
      <c r="S47" s="148"/>
      <c r="T47" s="40"/>
    </row>
    <row r="48" spans="1:20" s="77" customFormat="1" ht="25.4" customHeight="1">
      <c r="A48" s="3" t="s">
        <v>160</v>
      </c>
      <c r="B48" s="3" t="s">
        <v>368</v>
      </c>
      <c r="C48" s="3"/>
      <c r="D48" s="26" t="s">
        <v>161</v>
      </c>
      <c r="E48" s="386">
        <v>4000</v>
      </c>
      <c r="F48" s="386">
        <v>3000</v>
      </c>
      <c r="G48" s="386"/>
      <c r="H48" s="386"/>
      <c r="I48" s="386">
        <v>4000</v>
      </c>
      <c r="J48" s="386"/>
      <c r="K48" s="386">
        <v>3000</v>
      </c>
      <c r="L48" s="386"/>
      <c r="M48" s="386">
        <v>4000</v>
      </c>
      <c r="N48" s="386">
        <v>3000</v>
      </c>
      <c r="O48" s="386"/>
      <c r="P48" s="386">
        <v>3000</v>
      </c>
      <c r="Q48" s="386">
        <f t="shared" si="9"/>
        <v>24000</v>
      </c>
      <c r="R48" s="134">
        <f t="shared" si="10"/>
        <v>0.43794022115981168</v>
      </c>
      <c r="S48" s="148"/>
      <c r="T48" s="40"/>
    </row>
    <row r="49" spans="1:20" s="77" customFormat="1" ht="25.4" customHeight="1">
      <c r="A49" s="3" t="s">
        <v>162</v>
      </c>
      <c r="B49" s="3" t="s">
        <v>368</v>
      </c>
      <c r="C49" s="3"/>
      <c r="D49" s="26" t="s">
        <v>163</v>
      </c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>
        <f t="shared" si="9"/>
        <v>0</v>
      </c>
      <c r="R49" s="134">
        <f t="shared" si="10"/>
        <v>0</v>
      </c>
      <c r="S49" s="148"/>
      <c r="T49" s="40"/>
    </row>
    <row r="50" spans="1:20" s="77" customFormat="1" ht="25.4" customHeight="1">
      <c r="A50" s="3" t="s">
        <v>164</v>
      </c>
      <c r="B50" s="3" t="s">
        <v>368</v>
      </c>
      <c r="C50" s="3"/>
      <c r="D50" s="26" t="s">
        <v>165</v>
      </c>
      <c r="E50" s="386">
        <v>1000</v>
      </c>
      <c r="F50" s="386">
        <v>1000</v>
      </c>
      <c r="G50" s="386">
        <v>1000</v>
      </c>
      <c r="H50" s="386">
        <v>1000</v>
      </c>
      <c r="I50" s="386">
        <v>1000</v>
      </c>
      <c r="J50" s="386">
        <v>1000</v>
      </c>
      <c r="K50" s="386">
        <v>1000</v>
      </c>
      <c r="L50" s="386">
        <v>1000</v>
      </c>
      <c r="M50" s="386">
        <v>1000</v>
      </c>
      <c r="N50" s="386">
        <v>1000</v>
      </c>
      <c r="O50" s="386">
        <v>1000</v>
      </c>
      <c r="P50" s="386">
        <v>1000</v>
      </c>
      <c r="Q50" s="386">
        <f t="shared" si="9"/>
        <v>12000</v>
      </c>
      <c r="R50" s="134">
        <f t="shared" si="10"/>
        <v>0.21897011057990584</v>
      </c>
      <c r="S50" s="148"/>
      <c r="T50" s="40"/>
    </row>
    <row r="51" spans="1:20" s="77" customFormat="1" ht="25.4" customHeight="1">
      <c r="A51" s="3" t="s">
        <v>166</v>
      </c>
      <c r="B51" s="3" t="s">
        <v>368</v>
      </c>
      <c r="C51" s="3"/>
      <c r="D51" s="26" t="s">
        <v>167</v>
      </c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>
        <f t="shared" si="9"/>
        <v>0</v>
      </c>
      <c r="R51" s="134">
        <f t="shared" si="10"/>
        <v>0</v>
      </c>
      <c r="S51" s="148"/>
      <c r="T51" s="40"/>
    </row>
    <row r="52" spans="1:20" s="77" customFormat="1" ht="25.4" customHeight="1">
      <c r="A52" s="3" t="s">
        <v>168</v>
      </c>
      <c r="B52" s="3" t="s">
        <v>368</v>
      </c>
      <c r="C52" s="3"/>
      <c r="D52" s="26" t="s">
        <v>169</v>
      </c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>
        <f t="shared" si="9"/>
        <v>0</v>
      </c>
      <c r="R52" s="134">
        <f t="shared" si="10"/>
        <v>0</v>
      </c>
      <c r="S52" s="148"/>
      <c r="T52" s="40"/>
    </row>
    <row r="53" spans="1:20" s="77" customFormat="1" ht="25.4" customHeight="1">
      <c r="A53" s="3" t="s">
        <v>170</v>
      </c>
      <c r="B53" s="3" t="s">
        <v>368</v>
      </c>
      <c r="C53" s="3"/>
      <c r="D53" s="26" t="s">
        <v>171</v>
      </c>
      <c r="E53" s="386">
        <v>100</v>
      </c>
      <c r="F53" s="386">
        <v>100</v>
      </c>
      <c r="G53" s="386">
        <v>100</v>
      </c>
      <c r="H53" s="386">
        <v>100</v>
      </c>
      <c r="I53" s="386">
        <v>100</v>
      </c>
      <c r="J53" s="386">
        <v>100</v>
      </c>
      <c r="K53" s="386">
        <v>100</v>
      </c>
      <c r="L53" s="386">
        <v>100</v>
      </c>
      <c r="M53" s="386">
        <v>100</v>
      </c>
      <c r="N53" s="386">
        <v>100</v>
      </c>
      <c r="O53" s="386">
        <v>100</v>
      </c>
      <c r="P53" s="386">
        <v>100</v>
      </c>
      <c r="Q53" s="386">
        <f t="shared" si="9"/>
        <v>1200</v>
      </c>
      <c r="R53" s="134">
        <f t="shared" si="10"/>
        <v>2.1897011057990586E-2</v>
      </c>
      <c r="S53" s="148"/>
      <c r="T53" s="40"/>
    </row>
    <row r="54" spans="1:20" s="77" customFormat="1" ht="25.4" customHeight="1">
      <c r="A54" s="3" t="s">
        <v>172</v>
      </c>
      <c r="B54" s="3" t="s">
        <v>368</v>
      </c>
      <c r="C54" s="3"/>
      <c r="D54" s="26" t="s">
        <v>173</v>
      </c>
      <c r="E54" s="386">
        <f>ROUND(E117*0.6,2)</f>
        <v>2197.8000000000002</v>
      </c>
      <c r="F54" s="386">
        <f t="shared" ref="F54:P54" si="12">ROUND(F117*0.6,2)</f>
        <v>2813.4</v>
      </c>
      <c r="G54" s="386">
        <f>ROUND(G117*0.6,2)</f>
        <v>2082</v>
      </c>
      <c r="H54" s="386">
        <f t="shared" si="12"/>
        <v>2162.4</v>
      </c>
      <c r="I54" s="386">
        <f t="shared" si="12"/>
        <v>2363.4</v>
      </c>
      <c r="J54" s="386">
        <f t="shared" si="12"/>
        <v>2128.1999999999998</v>
      </c>
      <c r="K54" s="386">
        <f t="shared" si="12"/>
        <v>3971.4</v>
      </c>
      <c r="L54" s="386">
        <f t="shared" si="12"/>
        <v>4121.3999999999996</v>
      </c>
      <c r="M54" s="386">
        <f t="shared" si="12"/>
        <v>1838.4</v>
      </c>
      <c r="N54" s="386">
        <f t="shared" si="12"/>
        <v>3063</v>
      </c>
      <c r="O54" s="386">
        <f t="shared" si="12"/>
        <v>2878.8</v>
      </c>
      <c r="P54" s="386">
        <f t="shared" si="12"/>
        <v>3261</v>
      </c>
      <c r="Q54" s="386">
        <f t="shared" si="9"/>
        <v>32881.199999999997</v>
      </c>
      <c r="R54" s="134">
        <f t="shared" si="10"/>
        <v>0.6</v>
      </c>
      <c r="S54" s="148"/>
      <c r="T54" s="40"/>
    </row>
    <row r="55" spans="1:20" s="77" customFormat="1" ht="25.4" customHeight="1">
      <c r="A55" s="3" t="s">
        <v>174</v>
      </c>
      <c r="B55" s="3" t="s">
        <v>368</v>
      </c>
      <c r="C55" s="3"/>
      <c r="D55" s="26" t="s">
        <v>175</v>
      </c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>
        <f t="shared" si="9"/>
        <v>0</v>
      </c>
      <c r="R55" s="134">
        <f t="shared" si="10"/>
        <v>0</v>
      </c>
      <c r="S55" s="148"/>
      <c r="T55" s="40"/>
    </row>
    <row r="56" spans="1:20" s="413" customFormat="1" ht="25.4" customHeight="1">
      <c r="A56" s="410" t="s">
        <v>176</v>
      </c>
      <c r="B56" s="410" t="s">
        <v>368</v>
      </c>
      <c r="C56" s="410"/>
      <c r="D56" s="26" t="s">
        <v>177</v>
      </c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>
        <f t="shared" si="9"/>
        <v>0</v>
      </c>
      <c r="R56" s="134">
        <f t="shared" si="10"/>
        <v>0</v>
      </c>
      <c r="S56" s="411"/>
      <c r="T56" s="412"/>
    </row>
    <row r="57" spans="1:20" s="77" customFormat="1" ht="25.4" customHeight="1">
      <c r="A57" s="3" t="s">
        <v>178</v>
      </c>
      <c r="B57" s="3" t="s">
        <v>368</v>
      </c>
      <c r="C57" s="3"/>
      <c r="D57" s="26" t="s">
        <v>179</v>
      </c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386">
        <f t="shared" si="9"/>
        <v>0</v>
      </c>
      <c r="R57" s="134">
        <f t="shared" si="10"/>
        <v>0</v>
      </c>
      <c r="S57" s="148"/>
      <c r="T57" s="40"/>
    </row>
    <row r="58" spans="1:20" s="77" customFormat="1" ht="25.4" customHeight="1">
      <c r="A58" s="3" t="s">
        <v>180</v>
      </c>
      <c r="B58" s="3" t="s">
        <v>368</v>
      </c>
      <c r="C58" s="3"/>
      <c r="D58" s="26" t="s">
        <v>181</v>
      </c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>
        <f t="shared" si="9"/>
        <v>0</v>
      </c>
      <c r="R58" s="134">
        <f t="shared" si="10"/>
        <v>0</v>
      </c>
      <c r="S58" s="148"/>
      <c r="T58" s="40"/>
    </row>
    <row r="59" spans="1:20" s="77" customFormat="1" ht="25.4" customHeight="1">
      <c r="A59" s="3" t="s">
        <v>182</v>
      </c>
      <c r="B59" s="3" t="s">
        <v>368</v>
      </c>
      <c r="C59" s="3"/>
      <c r="D59" s="26" t="s">
        <v>183</v>
      </c>
      <c r="E59" s="386">
        <f>ROUND(E117*0.7,2)</f>
        <v>2564.1</v>
      </c>
      <c r="F59" s="386">
        <f t="shared" ref="F59:P59" si="13">ROUND(F117*0.7,2)</f>
        <v>3282.3</v>
      </c>
      <c r="G59" s="386">
        <f t="shared" si="13"/>
        <v>2429</v>
      </c>
      <c r="H59" s="386">
        <f t="shared" si="13"/>
        <v>2522.8000000000002</v>
      </c>
      <c r="I59" s="386">
        <f t="shared" si="13"/>
        <v>2757.3</v>
      </c>
      <c r="J59" s="386">
        <f t="shared" si="13"/>
        <v>2482.9</v>
      </c>
      <c r="K59" s="386">
        <f t="shared" si="13"/>
        <v>4633.3</v>
      </c>
      <c r="L59" s="386">
        <f t="shared" si="13"/>
        <v>4808.3</v>
      </c>
      <c r="M59" s="386">
        <f t="shared" si="13"/>
        <v>2144.8000000000002</v>
      </c>
      <c r="N59" s="386">
        <f t="shared" si="13"/>
        <v>3573.5</v>
      </c>
      <c r="O59" s="386">
        <f t="shared" si="13"/>
        <v>3358.6</v>
      </c>
      <c r="P59" s="386">
        <f t="shared" si="13"/>
        <v>3804.5</v>
      </c>
      <c r="Q59" s="386">
        <f t="shared" si="9"/>
        <v>38361.4</v>
      </c>
      <c r="R59" s="134">
        <f t="shared" si="10"/>
        <v>0.70000000000000007</v>
      </c>
      <c r="S59" s="148"/>
      <c r="T59" s="40"/>
    </row>
    <row r="60" spans="1:20" s="77" customFormat="1" ht="25.4" customHeight="1">
      <c r="A60" s="3" t="s">
        <v>184</v>
      </c>
      <c r="B60" s="3" t="s">
        <v>368</v>
      </c>
      <c r="C60" s="3"/>
      <c r="D60" s="26" t="s">
        <v>185</v>
      </c>
      <c r="E60" s="386"/>
      <c r="F60" s="386"/>
      <c r="G60" s="386"/>
      <c r="H60" s="386"/>
      <c r="I60" s="386"/>
      <c r="J60" s="386">
        <v>200</v>
      </c>
      <c r="K60" s="386">
        <v>200</v>
      </c>
      <c r="L60" s="386">
        <v>200</v>
      </c>
      <c r="M60" s="386">
        <v>200</v>
      </c>
      <c r="N60" s="386">
        <v>200</v>
      </c>
      <c r="O60" s="386">
        <v>200</v>
      </c>
      <c r="P60" s="386">
        <v>200</v>
      </c>
      <c r="Q60" s="386">
        <f t="shared" si="9"/>
        <v>1400</v>
      </c>
      <c r="R60" s="134">
        <f t="shared" si="10"/>
        <v>2.5546512900989016E-2</v>
      </c>
      <c r="S60" s="148"/>
      <c r="T60" s="40"/>
    </row>
    <row r="61" spans="1:20" s="77" customFormat="1" ht="25.4" customHeight="1">
      <c r="A61" s="3" t="s">
        <v>186</v>
      </c>
      <c r="B61" s="3" t="s">
        <v>368</v>
      </c>
      <c r="C61" s="3"/>
      <c r="D61" s="26" t="s">
        <v>187</v>
      </c>
      <c r="E61" s="386"/>
      <c r="F61" s="386"/>
      <c r="G61" s="386"/>
      <c r="H61" s="386"/>
      <c r="I61" s="386"/>
      <c r="J61" s="386">
        <v>500</v>
      </c>
      <c r="K61" s="386">
        <v>500</v>
      </c>
      <c r="L61" s="386">
        <v>500</v>
      </c>
      <c r="M61" s="386">
        <v>500</v>
      </c>
      <c r="N61" s="386">
        <v>500</v>
      </c>
      <c r="O61" s="386">
        <v>500</v>
      </c>
      <c r="P61" s="386">
        <v>500</v>
      </c>
      <c r="Q61" s="386">
        <f t="shared" si="9"/>
        <v>3500</v>
      </c>
      <c r="R61" s="134">
        <f t="shared" si="10"/>
        <v>6.3866282252472539E-2</v>
      </c>
      <c r="S61" s="148"/>
      <c r="T61" s="40"/>
    </row>
    <row r="62" spans="1:20" s="77" customFormat="1" ht="25.4" customHeight="1">
      <c r="A62" s="3" t="s">
        <v>188</v>
      </c>
      <c r="B62" s="3" t="s">
        <v>368</v>
      </c>
      <c r="C62" s="3"/>
      <c r="D62" s="26" t="s">
        <v>189</v>
      </c>
      <c r="E62" s="386"/>
      <c r="F62" s="386"/>
      <c r="G62" s="386"/>
      <c r="H62" s="386"/>
      <c r="I62" s="386"/>
      <c r="J62" s="386"/>
      <c r="K62" s="386"/>
      <c r="L62" s="386"/>
      <c r="M62" s="386"/>
      <c r="N62" s="386"/>
      <c r="O62" s="386"/>
      <c r="P62" s="386"/>
      <c r="Q62" s="386">
        <f t="shared" si="9"/>
        <v>0</v>
      </c>
      <c r="R62" s="134">
        <f t="shared" si="10"/>
        <v>0</v>
      </c>
      <c r="S62" s="148"/>
      <c r="T62" s="40"/>
    </row>
    <row r="63" spans="1:20" s="77" customFormat="1" ht="25.4" customHeight="1">
      <c r="A63" s="3" t="s">
        <v>190</v>
      </c>
      <c r="B63" s="3" t="s">
        <v>368</v>
      </c>
      <c r="C63" s="3"/>
      <c r="D63" s="26" t="s">
        <v>191</v>
      </c>
      <c r="E63" s="386"/>
      <c r="F63" s="386"/>
      <c r="G63" s="386"/>
      <c r="H63" s="386"/>
      <c r="I63" s="386"/>
      <c r="J63" s="386"/>
      <c r="K63" s="386"/>
      <c r="L63" s="386"/>
      <c r="M63" s="386"/>
      <c r="N63" s="386"/>
      <c r="O63" s="386"/>
      <c r="P63" s="386"/>
      <c r="Q63" s="386">
        <f t="shared" si="9"/>
        <v>0</v>
      </c>
      <c r="R63" s="134">
        <f t="shared" si="10"/>
        <v>0</v>
      </c>
      <c r="S63" s="148"/>
      <c r="T63" s="40"/>
    </row>
    <row r="64" spans="1:20" s="77" customFormat="1" ht="25.4" customHeight="1">
      <c r="A64" s="3" t="s">
        <v>192</v>
      </c>
      <c r="B64" s="3" t="s">
        <v>368</v>
      </c>
      <c r="C64" s="3"/>
      <c r="D64" s="26" t="s">
        <v>193</v>
      </c>
      <c r="E64" s="386">
        <v>2000</v>
      </c>
      <c r="F64" s="386">
        <v>2000</v>
      </c>
      <c r="G64" s="386">
        <v>2000</v>
      </c>
      <c r="H64" s="386">
        <v>2000</v>
      </c>
      <c r="I64" s="386">
        <v>2000</v>
      </c>
      <c r="J64" s="386">
        <v>3000</v>
      </c>
      <c r="K64" s="386">
        <v>3000</v>
      </c>
      <c r="L64" s="386">
        <v>3000</v>
      </c>
      <c r="M64" s="386">
        <v>4000</v>
      </c>
      <c r="N64" s="386">
        <v>4000</v>
      </c>
      <c r="O64" s="386">
        <v>4000</v>
      </c>
      <c r="P64" s="386">
        <v>4000</v>
      </c>
      <c r="Q64" s="386">
        <f t="shared" si="9"/>
        <v>35000</v>
      </c>
      <c r="R64" s="134">
        <f t="shared" si="10"/>
        <v>0.63866282252472539</v>
      </c>
      <c r="S64" s="148"/>
      <c r="T64" s="40"/>
    </row>
    <row r="65" spans="1:20" s="77" customFormat="1" ht="25.4" customHeight="1">
      <c r="A65" s="3" t="s">
        <v>194</v>
      </c>
      <c r="B65" s="3" t="s">
        <v>368</v>
      </c>
      <c r="C65" s="3"/>
      <c r="D65" s="26" t="s">
        <v>195</v>
      </c>
      <c r="E65" s="386"/>
      <c r="F65" s="386"/>
      <c r="G65" s="386"/>
      <c r="H65" s="386">
        <v>1000</v>
      </c>
      <c r="I65" s="386">
        <v>1000</v>
      </c>
      <c r="J65" s="386">
        <v>1000</v>
      </c>
      <c r="K65" s="386">
        <v>1000</v>
      </c>
      <c r="L65" s="386">
        <v>1000</v>
      </c>
      <c r="M65" s="386">
        <v>1000</v>
      </c>
      <c r="N65" s="386">
        <v>1000</v>
      </c>
      <c r="O65" s="386">
        <v>1000</v>
      </c>
      <c r="P65" s="386">
        <v>1000</v>
      </c>
      <c r="Q65" s="386">
        <f t="shared" si="9"/>
        <v>9000</v>
      </c>
      <c r="R65" s="134">
        <f t="shared" si="10"/>
        <v>0.16422758293492939</v>
      </c>
      <c r="S65" s="148"/>
      <c r="T65" s="40"/>
    </row>
    <row r="66" spans="1:20" s="77" customFormat="1" ht="25.4" customHeight="1">
      <c r="A66" s="3" t="s">
        <v>196</v>
      </c>
      <c r="B66" s="3" t="s">
        <v>368</v>
      </c>
      <c r="C66" s="3"/>
      <c r="D66" s="26" t="s">
        <v>197</v>
      </c>
      <c r="E66" s="386"/>
      <c r="F66" s="386"/>
      <c r="G66" s="386"/>
      <c r="H66" s="386"/>
      <c r="I66" s="386"/>
      <c r="J66" s="386">
        <v>300</v>
      </c>
      <c r="K66" s="386">
        <v>300</v>
      </c>
      <c r="L66" s="386">
        <v>300</v>
      </c>
      <c r="M66" s="386">
        <v>300</v>
      </c>
      <c r="N66" s="386">
        <v>300</v>
      </c>
      <c r="O66" s="386">
        <v>300</v>
      </c>
      <c r="P66" s="386">
        <v>300</v>
      </c>
      <c r="Q66" s="386">
        <f t="shared" si="9"/>
        <v>2100</v>
      </c>
      <c r="R66" s="134">
        <f t="shared" si="10"/>
        <v>3.8319769351483519E-2</v>
      </c>
      <c r="S66" s="148"/>
      <c r="T66" s="40"/>
    </row>
    <row r="67" spans="1:20" s="319" customFormat="1" ht="25.4" customHeight="1">
      <c r="A67" s="306" t="s">
        <v>198</v>
      </c>
      <c r="B67" s="306" t="s">
        <v>368</v>
      </c>
      <c r="C67" s="306"/>
      <c r="D67" s="26" t="s">
        <v>199</v>
      </c>
      <c r="E67" s="386">
        <f>12*E165</f>
        <v>408</v>
      </c>
      <c r="F67" s="386">
        <f t="shared" ref="F67:P67" si="14">12*F165</f>
        <v>408</v>
      </c>
      <c r="G67" s="386">
        <f t="shared" si="14"/>
        <v>408</v>
      </c>
      <c r="H67" s="386">
        <f t="shared" si="14"/>
        <v>408</v>
      </c>
      <c r="I67" s="386">
        <f t="shared" si="14"/>
        <v>408</v>
      </c>
      <c r="J67" s="386">
        <f t="shared" si="14"/>
        <v>444</v>
      </c>
      <c r="K67" s="386">
        <f t="shared" si="14"/>
        <v>444</v>
      </c>
      <c r="L67" s="386">
        <f t="shared" si="14"/>
        <v>444</v>
      </c>
      <c r="M67" s="386">
        <f t="shared" si="14"/>
        <v>444</v>
      </c>
      <c r="N67" s="386">
        <f t="shared" si="14"/>
        <v>444</v>
      </c>
      <c r="O67" s="386">
        <f t="shared" si="14"/>
        <v>456</v>
      </c>
      <c r="P67" s="386">
        <f t="shared" si="14"/>
        <v>456</v>
      </c>
      <c r="Q67" s="386">
        <f t="shared" si="9"/>
        <v>5172</v>
      </c>
      <c r="R67" s="134">
        <f t="shared" si="10"/>
        <v>9.4376117659939418E-2</v>
      </c>
      <c r="S67" s="347"/>
      <c r="T67" s="308"/>
    </row>
    <row r="68" spans="1:20" s="77" customFormat="1" ht="25.4" customHeight="1">
      <c r="A68" s="3" t="s">
        <v>200</v>
      </c>
      <c r="B68" s="3" t="s">
        <v>368</v>
      </c>
      <c r="C68" s="3"/>
      <c r="D68" s="26" t="s">
        <v>201</v>
      </c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86">
        <f t="shared" si="9"/>
        <v>0</v>
      </c>
      <c r="R68" s="134">
        <f t="shared" si="10"/>
        <v>0</v>
      </c>
      <c r="S68" s="148"/>
      <c r="T68" s="40"/>
    </row>
    <row r="69" spans="1:20" s="77" customFormat="1" ht="25.4" customHeight="1">
      <c r="A69" s="3" t="s">
        <v>202</v>
      </c>
      <c r="B69" s="3" t="s">
        <v>368</v>
      </c>
      <c r="C69" s="3"/>
      <c r="D69" s="26" t="s">
        <v>203</v>
      </c>
      <c r="E69" s="386"/>
      <c r="F69" s="386"/>
      <c r="G69" s="386"/>
      <c r="H69" s="386"/>
      <c r="I69" s="386"/>
      <c r="J69" s="386"/>
      <c r="K69" s="386"/>
      <c r="L69" s="386"/>
      <c r="M69" s="386"/>
      <c r="N69" s="386"/>
      <c r="O69" s="386"/>
      <c r="P69" s="386"/>
      <c r="Q69" s="386">
        <f t="shared" si="9"/>
        <v>0</v>
      </c>
      <c r="R69" s="134">
        <f t="shared" si="10"/>
        <v>0</v>
      </c>
      <c r="S69" s="148"/>
      <c r="T69" s="40"/>
    </row>
    <row r="70" spans="1:20" s="77" customFormat="1" ht="25.4" customHeight="1">
      <c r="A70" s="3" t="s">
        <v>204</v>
      </c>
      <c r="B70" s="3" t="s">
        <v>368</v>
      </c>
      <c r="C70" s="3"/>
      <c r="D70" s="26" t="s">
        <v>205</v>
      </c>
      <c r="E70" s="386"/>
      <c r="F70" s="386"/>
      <c r="G70" s="386"/>
      <c r="H70" s="386"/>
      <c r="I70" s="386"/>
      <c r="J70" s="386"/>
      <c r="K70" s="386"/>
      <c r="L70" s="386"/>
      <c r="M70" s="386"/>
      <c r="N70" s="386"/>
      <c r="O70" s="386"/>
      <c r="P70" s="386"/>
      <c r="Q70" s="386">
        <f t="shared" si="9"/>
        <v>0</v>
      </c>
      <c r="R70" s="134">
        <f t="shared" si="10"/>
        <v>0</v>
      </c>
      <c r="S70" s="148"/>
      <c r="T70" s="40"/>
    </row>
    <row r="71" spans="1:20" s="77" customFormat="1" ht="25.4" customHeight="1">
      <c r="A71" s="3" t="s">
        <v>206</v>
      </c>
      <c r="B71" s="3" t="s">
        <v>368</v>
      </c>
      <c r="C71" s="3"/>
      <c r="D71" s="26" t="s">
        <v>207</v>
      </c>
      <c r="E71" s="419">
        <v>2000</v>
      </c>
      <c r="F71" s="419">
        <v>2000</v>
      </c>
      <c r="G71" s="419">
        <v>2000</v>
      </c>
      <c r="H71" s="419">
        <v>2000</v>
      </c>
      <c r="I71" s="419">
        <v>2000</v>
      </c>
      <c r="J71" s="419">
        <v>3000</v>
      </c>
      <c r="K71" s="419">
        <v>3000</v>
      </c>
      <c r="L71" s="419">
        <v>3000</v>
      </c>
      <c r="M71" s="419">
        <v>3000</v>
      </c>
      <c r="N71" s="419">
        <v>3000</v>
      </c>
      <c r="O71" s="419">
        <v>3000</v>
      </c>
      <c r="P71" s="419">
        <v>3000</v>
      </c>
      <c r="Q71" s="386">
        <f t="shared" si="9"/>
        <v>31000</v>
      </c>
      <c r="R71" s="134">
        <f t="shared" si="10"/>
        <v>0.56567278566475676</v>
      </c>
      <c r="S71" s="148"/>
      <c r="T71" s="40"/>
    </row>
    <row r="72" spans="1:20" s="77" customFormat="1" ht="25.4" customHeight="1">
      <c r="A72" s="3" t="s">
        <v>208</v>
      </c>
      <c r="B72" s="3" t="s">
        <v>368</v>
      </c>
      <c r="C72" s="3"/>
      <c r="D72" s="26" t="s">
        <v>209</v>
      </c>
      <c r="E72" s="419">
        <v>1200</v>
      </c>
      <c r="F72" s="419">
        <v>1200</v>
      </c>
      <c r="G72" s="419">
        <v>1200</v>
      </c>
      <c r="H72" s="419">
        <v>1200</v>
      </c>
      <c r="I72" s="419">
        <v>1200</v>
      </c>
      <c r="J72" s="419">
        <v>1200</v>
      </c>
      <c r="K72" s="419">
        <v>1200</v>
      </c>
      <c r="L72" s="419">
        <v>1200</v>
      </c>
      <c r="M72" s="419">
        <v>1200</v>
      </c>
      <c r="N72" s="419">
        <v>1200</v>
      </c>
      <c r="O72" s="419">
        <v>1200</v>
      </c>
      <c r="P72" s="419">
        <v>1200</v>
      </c>
      <c r="Q72" s="386">
        <f t="shared" si="9"/>
        <v>14400</v>
      </c>
      <c r="R72" s="134">
        <f t="shared" si="10"/>
        <v>0.262764132695887</v>
      </c>
      <c r="S72" s="148"/>
      <c r="T72" s="40"/>
    </row>
    <row r="73" spans="1:20" s="77" customFormat="1" ht="25.4" customHeight="1">
      <c r="A73" s="3" t="s">
        <v>210</v>
      </c>
      <c r="B73" s="3" t="s">
        <v>368</v>
      </c>
      <c r="C73" s="3"/>
      <c r="D73" s="26" t="s">
        <v>211</v>
      </c>
      <c r="E73" s="386">
        <v>0</v>
      </c>
      <c r="F73" s="386">
        <v>0</v>
      </c>
      <c r="G73" s="386">
        <v>0</v>
      </c>
      <c r="H73" s="386">
        <v>0</v>
      </c>
      <c r="I73" s="386">
        <v>0</v>
      </c>
      <c r="J73" s="386">
        <v>0</v>
      </c>
      <c r="K73" s="386">
        <v>0</v>
      </c>
      <c r="L73" s="386">
        <v>0</v>
      </c>
      <c r="M73" s="386">
        <v>0</v>
      </c>
      <c r="N73" s="386">
        <v>0</v>
      </c>
      <c r="O73" s="386">
        <v>0</v>
      </c>
      <c r="P73" s="386">
        <v>0</v>
      </c>
      <c r="Q73" s="386">
        <f t="shared" si="9"/>
        <v>0</v>
      </c>
      <c r="R73" s="134">
        <f t="shared" si="10"/>
        <v>0</v>
      </c>
      <c r="S73" s="148"/>
      <c r="T73" s="40"/>
    </row>
    <row r="74" spans="1:20" s="77" customFormat="1" ht="25.4" customHeight="1">
      <c r="A74" s="3" t="s">
        <v>212</v>
      </c>
      <c r="B74" s="3" t="s">
        <v>368</v>
      </c>
      <c r="C74" s="3"/>
      <c r="D74" s="26" t="s">
        <v>213</v>
      </c>
      <c r="E74" s="386">
        <v>3200</v>
      </c>
      <c r="F74" s="386">
        <v>3200</v>
      </c>
      <c r="G74" s="386">
        <v>3200</v>
      </c>
      <c r="H74" s="386">
        <v>3200</v>
      </c>
      <c r="I74" s="386">
        <v>3200</v>
      </c>
      <c r="J74" s="386">
        <v>3200</v>
      </c>
      <c r="K74" s="386">
        <v>3200</v>
      </c>
      <c r="L74" s="386">
        <v>3200</v>
      </c>
      <c r="M74" s="386">
        <v>3200</v>
      </c>
      <c r="N74" s="386">
        <v>3200</v>
      </c>
      <c r="O74" s="386">
        <v>3200</v>
      </c>
      <c r="P74" s="386">
        <v>3200</v>
      </c>
      <c r="Q74" s="386">
        <f t="shared" si="9"/>
        <v>38400</v>
      </c>
      <c r="R74" s="134">
        <f t="shared" si="10"/>
        <v>0.70070435385569874</v>
      </c>
      <c r="S74" s="148"/>
      <c r="T74" s="40"/>
    </row>
    <row r="75" spans="1:20" s="77" customFormat="1" ht="25.4" customHeight="1">
      <c r="A75" s="3" t="s">
        <v>214</v>
      </c>
      <c r="B75" s="3" t="s">
        <v>368</v>
      </c>
      <c r="C75" s="3"/>
      <c r="D75" s="26" t="s">
        <v>215</v>
      </c>
      <c r="E75" s="386"/>
      <c r="F75" s="386"/>
      <c r="G75" s="386"/>
      <c r="H75" s="386"/>
      <c r="I75" s="386"/>
      <c r="J75" s="386"/>
      <c r="K75" s="386"/>
      <c r="L75" s="386"/>
      <c r="M75" s="386"/>
      <c r="N75" s="386"/>
      <c r="O75" s="386"/>
      <c r="P75" s="386"/>
      <c r="Q75" s="386">
        <f t="shared" si="9"/>
        <v>0</v>
      </c>
      <c r="R75" s="134">
        <f t="shared" si="10"/>
        <v>0</v>
      </c>
      <c r="S75" s="148"/>
      <c r="T75" s="40"/>
    </row>
    <row r="76" spans="1:20" s="77" customFormat="1" ht="25.4" customHeight="1">
      <c r="A76" s="3" t="s">
        <v>216</v>
      </c>
      <c r="B76" s="3" t="s">
        <v>368</v>
      </c>
      <c r="C76" s="3"/>
      <c r="D76" s="26" t="s">
        <v>217</v>
      </c>
      <c r="E76" s="386">
        <f>ROUND(E118*0.5,2)</f>
        <v>0</v>
      </c>
      <c r="F76" s="386"/>
      <c r="G76" s="386"/>
      <c r="H76" s="386"/>
      <c r="I76" s="386"/>
      <c r="J76" s="386"/>
      <c r="K76" s="386"/>
      <c r="L76" s="386"/>
      <c r="M76" s="386"/>
      <c r="N76" s="386"/>
      <c r="O76" s="386"/>
      <c r="P76" s="386"/>
      <c r="Q76" s="386">
        <f t="shared" si="9"/>
        <v>0</v>
      </c>
      <c r="R76" s="134">
        <f t="shared" si="10"/>
        <v>0</v>
      </c>
      <c r="S76" s="148"/>
      <c r="T76" s="40"/>
    </row>
    <row r="77" spans="1:20" s="77" customFormat="1" ht="25.4" customHeight="1">
      <c r="A77" s="3" t="s">
        <v>218</v>
      </c>
      <c r="B77" s="3" t="s">
        <v>368</v>
      </c>
      <c r="C77" s="3"/>
      <c r="D77" s="26" t="s">
        <v>219</v>
      </c>
      <c r="E77" s="386">
        <f t="shared" ref="E77:P77" si="15">ROUND(E117*1,2)</f>
        <v>3663</v>
      </c>
      <c r="F77" s="386">
        <f t="shared" si="15"/>
        <v>4689</v>
      </c>
      <c r="G77" s="386">
        <f t="shared" si="15"/>
        <v>3470</v>
      </c>
      <c r="H77" s="386">
        <f t="shared" si="15"/>
        <v>3604</v>
      </c>
      <c r="I77" s="386">
        <f t="shared" si="15"/>
        <v>3939</v>
      </c>
      <c r="J77" s="386">
        <f t="shared" si="15"/>
        <v>3547</v>
      </c>
      <c r="K77" s="386">
        <f t="shared" si="15"/>
        <v>6619</v>
      </c>
      <c r="L77" s="386">
        <f t="shared" si="15"/>
        <v>6869</v>
      </c>
      <c r="M77" s="386">
        <f t="shared" si="15"/>
        <v>3064</v>
      </c>
      <c r="N77" s="386">
        <f t="shared" si="15"/>
        <v>5105</v>
      </c>
      <c r="O77" s="386">
        <f t="shared" si="15"/>
        <v>4798</v>
      </c>
      <c r="P77" s="386">
        <f t="shared" si="15"/>
        <v>5435</v>
      </c>
      <c r="Q77" s="386">
        <f t="shared" si="9"/>
        <v>54802</v>
      </c>
      <c r="R77" s="134">
        <f t="shared" si="10"/>
        <v>1</v>
      </c>
      <c r="S77" s="148"/>
      <c r="T77" s="40"/>
    </row>
    <row r="78" spans="1:20" s="77" customFormat="1" ht="25.4" customHeight="1">
      <c r="A78" s="3" t="s">
        <v>220</v>
      </c>
      <c r="B78" s="3" t="s">
        <v>368</v>
      </c>
      <c r="C78" s="3"/>
      <c r="D78" s="26" t="s">
        <v>221</v>
      </c>
      <c r="E78" s="386"/>
      <c r="F78" s="386"/>
      <c r="G78" s="386"/>
      <c r="H78" s="386"/>
      <c r="I78" s="386"/>
      <c r="J78" s="386"/>
      <c r="K78" s="386"/>
      <c r="L78" s="386"/>
      <c r="M78" s="386"/>
      <c r="N78" s="386"/>
      <c r="O78" s="386"/>
      <c r="P78" s="386"/>
      <c r="Q78" s="386">
        <f t="shared" si="9"/>
        <v>0</v>
      </c>
      <c r="R78" s="134">
        <f t="shared" si="10"/>
        <v>0</v>
      </c>
      <c r="S78" s="148"/>
      <c r="T78" s="40"/>
    </row>
    <row r="79" spans="1:20" s="77" customFormat="1" ht="25.4" customHeight="1">
      <c r="A79" s="3" t="s">
        <v>222</v>
      </c>
      <c r="B79" s="3" t="s">
        <v>368</v>
      </c>
      <c r="C79" s="3"/>
      <c r="D79" s="26" t="s">
        <v>223</v>
      </c>
      <c r="E79" s="386"/>
      <c r="F79" s="386"/>
      <c r="G79" s="386"/>
      <c r="H79" s="386"/>
      <c r="I79" s="386"/>
      <c r="J79" s="386"/>
      <c r="K79" s="386"/>
      <c r="L79" s="386"/>
      <c r="M79" s="386"/>
      <c r="N79" s="386"/>
      <c r="O79" s="386"/>
      <c r="P79" s="386"/>
      <c r="Q79" s="386">
        <f t="shared" si="9"/>
        <v>0</v>
      </c>
      <c r="R79" s="134">
        <f t="shared" si="10"/>
        <v>0</v>
      </c>
      <c r="S79" s="148"/>
      <c r="T79" s="40"/>
    </row>
    <row r="80" spans="1:20" s="77" customFormat="1" ht="25.4" customHeight="1">
      <c r="A80" s="3" t="s">
        <v>224</v>
      </c>
      <c r="B80" s="3" t="s">
        <v>368</v>
      </c>
      <c r="C80" s="3"/>
      <c r="D80" s="26" t="s">
        <v>225</v>
      </c>
      <c r="E80" s="386"/>
      <c r="F80" s="386"/>
      <c r="G80" s="386"/>
      <c r="H80" s="386"/>
      <c r="I80" s="386"/>
      <c r="J80" s="386"/>
      <c r="K80" s="386"/>
      <c r="L80" s="386"/>
      <c r="M80" s="386"/>
      <c r="N80" s="386"/>
      <c r="O80" s="386"/>
      <c r="P80" s="386"/>
      <c r="Q80" s="386">
        <f t="shared" si="9"/>
        <v>0</v>
      </c>
      <c r="R80" s="134">
        <f t="shared" si="10"/>
        <v>0</v>
      </c>
      <c r="S80" s="148"/>
      <c r="T80" s="40"/>
    </row>
    <row r="81" spans="1:20" s="77" customFormat="1" ht="25.4" customHeight="1">
      <c r="A81" s="3" t="s">
        <v>226</v>
      </c>
      <c r="B81" s="3" t="s">
        <v>368</v>
      </c>
      <c r="C81" s="3"/>
      <c r="D81" s="26" t="s">
        <v>227</v>
      </c>
      <c r="E81" s="386"/>
      <c r="F81" s="386"/>
      <c r="G81" s="386"/>
      <c r="H81" s="386"/>
      <c r="I81" s="386"/>
      <c r="J81" s="386"/>
      <c r="K81" s="386"/>
      <c r="L81" s="386"/>
      <c r="M81" s="386"/>
      <c r="N81" s="386"/>
      <c r="O81" s="386"/>
      <c r="P81" s="386"/>
      <c r="Q81" s="386">
        <f t="shared" si="9"/>
        <v>0</v>
      </c>
      <c r="R81" s="134">
        <f t="shared" si="10"/>
        <v>0</v>
      </c>
      <c r="S81" s="148"/>
      <c r="T81" s="40"/>
    </row>
    <row r="82" spans="1:20" s="77" customFormat="1" ht="25.4" hidden="1" customHeight="1">
      <c r="A82" s="3" t="s">
        <v>228</v>
      </c>
      <c r="B82" s="3" t="s">
        <v>368</v>
      </c>
      <c r="C82" s="3"/>
      <c r="D82" s="26" t="s">
        <v>229</v>
      </c>
      <c r="E82" s="386"/>
      <c r="F82" s="386"/>
      <c r="G82" s="386"/>
      <c r="H82" s="386"/>
      <c r="I82" s="386"/>
      <c r="J82" s="386"/>
      <c r="K82" s="386"/>
      <c r="L82" s="386"/>
      <c r="M82" s="386"/>
      <c r="N82" s="386"/>
      <c r="O82" s="386"/>
      <c r="P82" s="386"/>
      <c r="Q82" s="386">
        <f t="shared" si="9"/>
        <v>0</v>
      </c>
      <c r="R82" s="134">
        <f t="shared" si="10"/>
        <v>0</v>
      </c>
      <c r="S82" s="148"/>
      <c r="T82" s="40"/>
    </row>
    <row r="83" spans="1:20" s="77" customFormat="1" ht="25.4" hidden="1" customHeight="1">
      <c r="A83" s="3" t="s">
        <v>230</v>
      </c>
      <c r="B83" s="3" t="s">
        <v>368</v>
      </c>
      <c r="C83" s="3"/>
      <c r="D83" s="26" t="s">
        <v>231</v>
      </c>
      <c r="E83" s="386"/>
      <c r="F83" s="386"/>
      <c r="G83" s="386"/>
      <c r="H83" s="386"/>
      <c r="I83" s="386"/>
      <c r="J83" s="386"/>
      <c r="K83" s="386"/>
      <c r="L83" s="386"/>
      <c r="M83" s="386"/>
      <c r="N83" s="386"/>
      <c r="O83" s="386"/>
      <c r="P83" s="386"/>
      <c r="Q83" s="386">
        <f t="shared" si="9"/>
        <v>0</v>
      </c>
      <c r="R83" s="134">
        <f t="shared" si="10"/>
        <v>0</v>
      </c>
      <c r="S83" s="148"/>
      <c r="T83" s="40"/>
    </row>
    <row r="84" spans="1:20" s="77" customFormat="1" ht="25.4" hidden="1" customHeight="1">
      <c r="A84" s="3" t="s">
        <v>232</v>
      </c>
      <c r="B84" s="3" t="s">
        <v>368</v>
      </c>
      <c r="C84" s="3"/>
      <c r="D84" s="26" t="s">
        <v>233</v>
      </c>
      <c r="E84" s="386"/>
      <c r="F84" s="386"/>
      <c r="G84" s="386"/>
      <c r="H84" s="386"/>
      <c r="I84" s="386"/>
      <c r="J84" s="386"/>
      <c r="K84" s="386"/>
      <c r="L84" s="386"/>
      <c r="M84" s="386"/>
      <c r="N84" s="386"/>
      <c r="O84" s="386"/>
      <c r="P84" s="386"/>
      <c r="Q84" s="386">
        <f t="shared" si="9"/>
        <v>0</v>
      </c>
      <c r="R84" s="134">
        <f t="shared" si="10"/>
        <v>0</v>
      </c>
      <c r="S84" s="148"/>
      <c r="T84" s="40"/>
    </row>
    <row r="85" spans="1:20" s="77" customFormat="1" ht="25.4" hidden="1" customHeight="1">
      <c r="A85" s="3" t="s">
        <v>234</v>
      </c>
      <c r="B85" s="3" t="s">
        <v>368</v>
      </c>
      <c r="C85" s="3"/>
      <c r="D85" s="26" t="s">
        <v>235</v>
      </c>
      <c r="E85" s="386"/>
      <c r="F85" s="386"/>
      <c r="G85" s="386"/>
      <c r="H85" s="386"/>
      <c r="I85" s="386"/>
      <c r="J85" s="386"/>
      <c r="K85" s="386"/>
      <c r="L85" s="386"/>
      <c r="M85" s="386"/>
      <c r="N85" s="386"/>
      <c r="O85" s="386"/>
      <c r="P85" s="386"/>
      <c r="Q85" s="386">
        <f t="shared" si="9"/>
        <v>0</v>
      </c>
      <c r="R85" s="134">
        <f t="shared" si="10"/>
        <v>0</v>
      </c>
      <c r="S85" s="148"/>
      <c r="T85" s="40"/>
    </row>
    <row r="86" spans="1:20" s="77" customFormat="1" ht="25.4" hidden="1" customHeight="1">
      <c r="A86" s="3" t="s">
        <v>422</v>
      </c>
      <c r="B86" s="3" t="s">
        <v>368</v>
      </c>
      <c r="C86" s="3"/>
      <c r="D86" s="26" t="s">
        <v>423</v>
      </c>
      <c r="E86" s="386"/>
      <c r="F86" s="386"/>
      <c r="G86" s="386"/>
      <c r="H86" s="386"/>
      <c r="I86" s="386"/>
      <c r="J86" s="386"/>
      <c r="K86" s="386"/>
      <c r="L86" s="386"/>
      <c r="M86" s="386"/>
      <c r="N86" s="386"/>
      <c r="O86" s="386"/>
      <c r="P86" s="386"/>
      <c r="Q86" s="386">
        <f t="shared" si="9"/>
        <v>0</v>
      </c>
      <c r="R86" s="134">
        <f t="shared" si="10"/>
        <v>0</v>
      </c>
      <c r="S86" s="148"/>
      <c r="T86" s="40"/>
    </row>
    <row r="87" spans="1:20" s="77" customFormat="1" ht="25.4" hidden="1" customHeight="1">
      <c r="A87" s="3" t="s">
        <v>236</v>
      </c>
      <c r="B87" s="3" t="s">
        <v>368</v>
      </c>
      <c r="C87" s="3"/>
      <c r="D87" s="26" t="s">
        <v>237</v>
      </c>
      <c r="E87" s="386"/>
      <c r="F87" s="386"/>
      <c r="G87" s="386"/>
      <c r="H87" s="386"/>
      <c r="I87" s="386"/>
      <c r="J87" s="386"/>
      <c r="K87" s="386"/>
      <c r="L87" s="386"/>
      <c r="M87" s="386"/>
      <c r="N87" s="386"/>
      <c r="O87" s="386"/>
      <c r="P87" s="386"/>
      <c r="Q87" s="386">
        <f t="shared" si="9"/>
        <v>0</v>
      </c>
      <c r="R87" s="134">
        <f t="shared" si="10"/>
        <v>0</v>
      </c>
      <c r="S87" s="148"/>
      <c r="T87" s="40"/>
    </row>
    <row r="88" spans="1:20" s="77" customFormat="1" ht="25.4" hidden="1" customHeight="1">
      <c r="A88" s="3" t="s">
        <v>238</v>
      </c>
      <c r="B88" s="3" t="s">
        <v>368</v>
      </c>
      <c r="C88" s="3"/>
      <c r="D88" s="26" t="s">
        <v>239</v>
      </c>
      <c r="E88" s="386"/>
      <c r="F88" s="386"/>
      <c r="G88" s="386"/>
      <c r="H88" s="386"/>
      <c r="I88" s="386"/>
      <c r="J88" s="386"/>
      <c r="K88" s="386"/>
      <c r="L88" s="386"/>
      <c r="M88" s="386"/>
      <c r="N88" s="386"/>
      <c r="O88" s="386"/>
      <c r="P88" s="386"/>
      <c r="Q88" s="386">
        <f t="shared" si="9"/>
        <v>0</v>
      </c>
      <c r="R88" s="134">
        <f t="shared" si="10"/>
        <v>0</v>
      </c>
      <c r="S88" s="148"/>
      <c r="T88" s="40"/>
    </row>
    <row r="89" spans="1:20" s="77" customFormat="1" ht="25.4" hidden="1" customHeight="1">
      <c r="A89" s="3" t="s">
        <v>240</v>
      </c>
      <c r="B89" s="3" t="s">
        <v>368</v>
      </c>
      <c r="C89" s="3"/>
      <c r="D89" s="26" t="s">
        <v>241</v>
      </c>
      <c r="E89" s="386"/>
      <c r="F89" s="386"/>
      <c r="G89" s="386"/>
      <c r="H89" s="386"/>
      <c r="I89" s="386"/>
      <c r="J89" s="386"/>
      <c r="K89" s="386"/>
      <c r="L89" s="386"/>
      <c r="M89" s="386"/>
      <c r="N89" s="386"/>
      <c r="O89" s="386"/>
      <c r="P89" s="386"/>
      <c r="Q89" s="386">
        <f t="shared" si="9"/>
        <v>0</v>
      </c>
      <c r="R89" s="134">
        <f t="shared" si="10"/>
        <v>0</v>
      </c>
      <c r="S89" s="148"/>
      <c r="T89" s="40"/>
    </row>
    <row r="90" spans="1:20" s="77" customFormat="1" ht="25.4" hidden="1" customHeight="1">
      <c r="A90" s="3" t="s">
        <v>242</v>
      </c>
      <c r="B90" s="3" t="s">
        <v>368</v>
      </c>
      <c r="C90" s="3"/>
      <c r="D90" s="26" t="s">
        <v>243</v>
      </c>
      <c r="E90" s="386"/>
      <c r="F90" s="386"/>
      <c r="G90" s="386"/>
      <c r="H90" s="386"/>
      <c r="I90" s="386"/>
      <c r="J90" s="386"/>
      <c r="K90" s="386"/>
      <c r="L90" s="386"/>
      <c r="M90" s="386"/>
      <c r="N90" s="386"/>
      <c r="O90" s="386"/>
      <c r="P90" s="386"/>
      <c r="Q90" s="386">
        <f t="shared" si="9"/>
        <v>0</v>
      </c>
      <c r="R90" s="134">
        <f t="shared" si="10"/>
        <v>0</v>
      </c>
      <c r="S90" s="148"/>
      <c r="T90" s="40"/>
    </row>
    <row r="91" spans="1:20" s="77" customFormat="1" ht="25.4" hidden="1" customHeight="1">
      <c r="A91" s="3" t="s">
        <v>244</v>
      </c>
      <c r="B91" s="3" t="s">
        <v>368</v>
      </c>
      <c r="C91" s="3"/>
      <c r="D91" s="26" t="s">
        <v>245</v>
      </c>
      <c r="E91" s="386"/>
      <c r="F91" s="386"/>
      <c r="G91" s="386"/>
      <c r="H91" s="386"/>
      <c r="I91" s="386"/>
      <c r="J91" s="386"/>
      <c r="K91" s="386"/>
      <c r="L91" s="386"/>
      <c r="M91" s="386"/>
      <c r="N91" s="386"/>
      <c r="O91" s="386"/>
      <c r="P91" s="386"/>
      <c r="Q91" s="386">
        <f t="shared" si="9"/>
        <v>0</v>
      </c>
      <c r="R91" s="134">
        <f t="shared" si="10"/>
        <v>0</v>
      </c>
      <c r="S91" s="148"/>
      <c r="T91" s="40"/>
    </row>
    <row r="92" spans="1:20" s="77" customFormat="1" ht="25.4" hidden="1" customHeight="1">
      <c r="A92" s="3" t="s">
        <v>246</v>
      </c>
      <c r="B92" s="3" t="s">
        <v>368</v>
      </c>
      <c r="C92" s="3"/>
      <c r="D92" s="26" t="s">
        <v>247</v>
      </c>
      <c r="E92" s="386"/>
      <c r="F92" s="386"/>
      <c r="G92" s="386"/>
      <c r="H92" s="386"/>
      <c r="I92" s="386"/>
      <c r="J92" s="386"/>
      <c r="K92" s="386"/>
      <c r="L92" s="386"/>
      <c r="M92" s="386"/>
      <c r="N92" s="386"/>
      <c r="O92" s="386"/>
      <c r="P92" s="386"/>
      <c r="Q92" s="386">
        <f t="shared" si="9"/>
        <v>0</v>
      </c>
      <c r="R92" s="134">
        <f t="shared" si="10"/>
        <v>0</v>
      </c>
      <c r="S92" s="148"/>
      <c r="T92" s="40"/>
    </row>
    <row r="93" spans="1:20" s="77" customFormat="1" ht="25.4" customHeight="1">
      <c r="A93" s="3" t="s">
        <v>248</v>
      </c>
      <c r="B93" s="3" t="s">
        <v>368</v>
      </c>
      <c r="C93" s="3"/>
      <c r="D93" s="26" t="s">
        <v>249</v>
      </c>
      <c r="E93" s="386">
        <v>100</v>
      </c>
      <c r="F93" s="386">
        <v>100</v>
      </c>
      <c r="G93" s="386">
        <v>100</v>
      </c>
      <c r="H93" s="386">
        <v>100</v>
      </c>
      <c r="I93" s="386">
        <v>100</v>
      </c>
      <c r="J93" s="386">
        <v>100</v>
      </c>
      <c r="K93" s="386">
        <v>100</v>
      </c>
      <c r="L93" s="386">
        <v>100</v>
      </c>
      <c r="M93" s="386">
        <v>100</v>
      </c>
      <c r="N93" s="386">
        <v>100</v>
      </c>
      <c r="O93" s="386">
        <v>100</v>
      </c>
      <c r="P93" s="386">
        <v>100</v>
      </c>
      <c r="Q93" s="386">
        <f t="shared" si="9"/>
        <v>1200</v>
      </c>
      <c r="R93" s="134">
        <f t="shared" si="10"/>
        <v>2.1897011057990586E-2</v>
      </c>
      <c r="S93" s="148"/>
      <c r="T93" s="40"/>
    </row>
    <row r="94" spans="1:20" s="77" customFormat="1" ht="24.65" customHeight="1">
      <c r="A94" s="3" t="s">
        <v>250</v>
      </c>
      <c r="B94" s="3" t="s">
        <v>368</v>
      </c>
      <c r="C94" s="3"/>
      <c r="D94" s="26" t="s">
        <v>251</v>
      </c>
      <c r="E94" s="386">
        <v>300</v>
      </c>
      <c r="F94" s="386">
        <v>300</v>
      </c>
      <c r="G94" s="386">
        <v>300</v>
      </c>
      <c r="H94" s="386">
        <v>300</v>
      </c>
      <c r="I94" s="386">
        <v>300</v>
      </c>
      <c r="J94" s="386">
        <v>300</v>
      </c>
      <c r="K94" s="386">
        <v>300</v>
      </c>
      <c r="L94" s="386">
        <v>300</v>
      </c>
      <c r="M94" s="386">
        <v>300</v>
      </c>
      <c r="N94" s="386">
        <v>300</v>
      </c>
      <c r="O94" s="386">
        <v>300</v>
      </c>
      <c r="P94" s="386">
        <v>300</v>
      </c>
      <c r="Q94" s="386">
        <f t="shared" si="9"/>
        <v>3600</v>
      </c>
      <c r="R94" s="134">
        <f t="shared" si="10"/>
        <v>6.569103317397175E-2</v>
      </c>
      <c r="S94" s="148"/>
      <c r="T94" s="40"/>
    </row>
    <row r="95" spans="1:20" s="77" customFormat="1" ht="24.65" customHeight="1">
      <c r="A95" s="3" t="s">
        <v>252</v>
      </c>
      <c r="B95" s="3" t="s">
        <v>368</v>
      </c>
      <c r="C95" s="3"/>
      <c r="D95" s="26" t="s">
        <v>253</v>
      </c>
      <c r="E95" s="386">
        <v>9938.2000000000025</v>
      </c>
      <c r="F95" s="386">
        <v>8739.019999999995</v>
      </c>
      <c r="G95" s="386">
        <v>8513.9399999999987</v>
      </c>
      <c r="H95" s="386">
        <v>8729.8400000000038</v>
      </c>
      <c r="I95" s="386">
        <v>8596.9</v>
      </c>
      <c r="J95" s="386">
        <v>8616.5600000000031</v>
      </c>
      <c r="K95" s="386">
        <v>8374.2099999999991</v>
      </c>
      <c r="L95" s="386">
        <v>8403.8100000000031</v>
      </c>
      <c r="M95" s="386">
        <v>8576.23</v>
      </c>
      <c r="N95" s="386">
        <v>9277.0099999999966</v>
      </c>
      <c r="O95" s="386">
        <v>8538.98</v>
      </c>
      <c r="P95" s="386">
        <v>8451.2000000000007</v>
      </c>
      <c r="Q95" s="386">
        <f>SUM(E95:P95)</f>
        <v>104755.9</v>
      </c>
      <c r="R95" s="134">
        <f t="shared" si="10"/>
        <v>1.9115342505747965</v>
      </c>
      <c r="S95" s="148"/>
      <c r="T95" s="40"/>
    </row>
    <row r="96" spans="1:20" s="77" customFormat="1" ht="25.4" customHeight="1">
      <c r="A96" s="3" t="s">
        <v>254</v>
      </c>
      <c r="B96" s="3" t="s">
        <v>368</v>
      </c>
      <c r="C96" s="3"/>
      <c r="D96" s="26" t="s">
        <v>255</v>
      </c>
      <c r="E96" s="386"/>
      <c r="F96" s="386"/>
      <c r="G96" s="386"/>
      <c r="H96" s="386"/>
      <c r="I96" s="386"/>
      <c r="J96" s="386"/>
      <c r="K96" s="386"/>
      <c r="L96" s="386"/>
      <c r="M96" s="386"/>
      <c r="N96" s="386"/>
      <c r="O96" s="386"/>
      <c r="P96" s="386"/>
      <c r="Q96" s="386">
        <f t="shared" si="9"/>
        <v>0</v>
      </c>
      <c r="R96" s="134">
        <f t="shared" si="10"/>
        <v>0</v>
      </c>
      <c r="S96" s="148"/>
      <c r="T96" s="40"/>
    </row>
    <row r="97" spans="1:20" s="319" customFormat="1" ht="25.4" customHeight="1">
      <c r="A97" s="306" t="s">
        <v>256</v>
      </c>
      <c r="B97" s="306" t="s">
        <v>368</v>
      </c>
      <c r="C97" s="306"/>
      <c r="D97" s="26" t="s">
        <v>257</v>
      </c>
      <c r="E97" s="386">
        <v>300</v>
      </c>
      <c r="F97" s="386">
        <v>300</v>
      </c>
      <c r="G97" s="386">
        <v>300</v>
      </c>
      <c r="H97" s="386">
        <v>300</v>
      </c>
      <c r="I97" s="386">
        <v>300</v>
      </c>
      <c r="J97" s="386">
        <v>300</v>
      </c>
      <c r="K97" s="386">
        <v>300</v>
      </c>
      <c r="L97" s="386">
        <v>300</v>
      </c>
      <c r="M97" s="386">
        <v>300</v>
      </c>
      <c r="N97" s="386">
        <v>300</v>
      </c>
      <c r="O97" s="386">
        <v>300</v>
      </c>
      <c r="P97" s="386">
        <v>300</v>
      </c>
      <c r="Q97" s="386">
        <f t="shared" si="9"/>
        <v>3600</v>
      </c>
      <c r="R97" s="134">
        <f t="shared" si="10"/>
        <v>6.569103317397175E-2</v>
      </c>
      <c r="S97" s="347"/>
      <c r="T97" s="308"/>
    </row>
    <row r="98" spans="1:20" s="77" customFormat="1" ht="25.4" customHeight="1">
      <c r="A98" s="3" t="s">
        <v>258</v>
      </c>
      <c r="B98" s="3" t="s">
        <v>368</v>
      </c>
      <c r="C98" s="3"/>
      <c r="D98" s="26" t="s">
        <v>259</v>
      </c>
      <c r="E98" s="386"/>
      <c r="F98" s="386"/>
      <c r="G98" s="386"/>
      <c r="H98" s="386"/>
      <c r="I98" s="386"/>
      <c r="J98" s="386"/>
      <c r="K98" s="386"/>
      <c r="L98" s="386"/>
      <c r="M98" s="386"/>
      <c r="N98" s="386"/>
      <c r="O98" s="386"/>
      <c r="P98" s="386"/>
      <c r="Q98" s="386">
        <f t="shared" si="9"/>
        <v>0</v>
      </c>
      <c r="R98" s="134">
        <f t="shared" si="10"/>
        <v>0</v>
      </c>
      <c r="S98" s="148"/>
      <c r="T98" s="40"/>
    </row>
    <row r="99" spans="1:20" s="77" customFormat="1" ht="25.4" customHeight="1">
      <c r="A99" s="3" t="s">
        <v>260</v>
      </c>
      <c r="B99" s="3" t="s">
        <v>368</v>
      </c>
      <c r="C99" s="3"/>
      <c r="D99" s="26" t="s">
        <v>261</v>
      </c>
      <c r="E99" s="386"/>
      <c r="F99" s="386"/>
      <c r="G99" s="386"/>
      <c r="H99" s="386"/>
      <c r="I99" s="386"/>
      <c r="J99" s="386"/>
      <c r="K99" s="386"/>
      <c r="L99" s="386"/>
      <c r="M99" s="386"/>
      <c r="N99" s="386"/>
      <c r="O99" s="386"/>
      <c r="P99" s="386"/>
      <c r="Q99" s="386">
        <f t="shared" si="9"/>
        <v>0</v>
      </c>
      <c r="R99" s="134">
        <f t="shared" si="10"/>
        <v>0</v>
      </c>
      <c r="S99" s="148"/>
      <c r="T99" s="40"/>
    </row>
    <row r="100" spans="1:20" s="77" customFormat="1" ht="25.4" customHeight="1">
      <c r="A100" s="3" t="s">
        <v>262</v>
      </c>
      <c r="B100" s="3" t="s">
        <v>368</v>
      </c>
      <c r="C100" s="3"/>
      <c r="D100" s="26" t="s">
        <v>263</v>
      </c>
      <c r="E100" s="386"/>
      <c r="F100" s="386"/>
      <c r="G100" s="386"/>
      <c r="H100" s="386"/>
      <c r="I100" s="386"/>
      <c r="J100" s="386"/>
      <c r="K100" s="386"/>
      <c r="L100" s="386"/>
      <c r="M100" s="386"/>
      <c r="N100" s="386"/>
      <c r="O100" s="386"/>
      <c r="P100" s="386"/>
      <c r="Q100" s="386">
        <f t="shared" si="9"/>
        <v>0</v>
      </c>
      <c r="R100" s="134">
        <f t="shared" si="10"/>
        <v>0</v>
      </c>
      <c r="S100" s="148"/>
      <c r="T100" s="40"/>
    </row>
    <row r="101" spans="1:20" s="77" customFormat="1" ht="25.4" customHeight="1">
      <c r="A101" s="3" t="s">
        <v>264</v>
      </c>
      <c r="B101" s="3" t="s">
        <v>368</v>
      </c>
      <c r="C101" s="3"/>
      <c r="D101" s="26" t="s">
        <v>265</v>
      </c>
      <c r="E101" s="386"/>
      <c r="F101" s="386"/>
      <c r="G101" s="386"/>
      <c r="H101" s="386"/>
      <c r="I101" s="386"/>
      <c r="J101" s="386"/>
      <c r="K101" s="386"/>
      <c r="L101" s="386"/>
      <c r="M101" s="386"/>
      <c r="N101" s="386"/>
      <c r="O101" s="386"/>
      <c r="P101" s="386"/>
      <c r="Q101" s="386">
        <f t="shared" si="9"/>
        <v>0</v>
      </c>
      <c r="R101" s="134">
        <f t="shared" si="10"/>
        <v>0</v>
      </c>
      <c r="S101" s="148"/>
      <c r="T101" s="40"/>
    </row>
    <row r="102" spans="1:20" s="77" customFormat="1" ht="25.4" customHeight="1">
      <c r="A102" s="3" t="s">
        <v>266</v>
      </c>
      <c r="B102" s="3" t="s">
        <v>368</v>
      </c>
      <c r="C102" s="3"/>
      <c r="D102" s="26" t="s">
        <v>267</v>
      </c>
      <c r="E102" s="386"/>
      <c r="F102" s="386"/>
      <c r="G102" s="386"/>
      <c r="H102" s="386"/>
      <c r="I102" s="386"/>
      <c r="J102" s="386"/>
      <c r="K102" s="386"/>
      <c r="L102" s="386"/>
      <c r="M102" s="386"/>
      <c r="N102" s="386"/>
      <c r="O102" s="386"/>
      <c r="P102" s="386"/>
      <c r="Q102" s="386">
        <f t="shared" si="9"/>
        <v>0</v>
      </c>
      <c r="R102" s="134">
        <f t="shared" si="10"/>
        <v>0</v>
      </c>
      <c r="S102" s="148"/>
      <c r="T102" s="40"/>
    </row>
    <row r="103" spans="1:20" s="77" customFormat="1" ht="25.4" customHeight="1">
      <c r="A103" s="3" t="s">
        <v>268</v>
      </c>
      <c r="B103" s="3" t="s">
        <v>368</v>
      </c>
      <c r="C103" s="3"/>
      <c r="D103" s="26" t="s">
        <v>269</v>
      </c>
      <c r="E103" s="386">
        <v>85</v>
      </c>
      <c r="F103" s="386">
        <v>85</v>
      </c>
      <c r="G103" s="386">
        <v>85</v>
      </c>
      <c r="H103" s="386">
        <v>85</v>
      </c>
      <c r="I103" s="386">
        <v>85</v>
      </c>
      <c r="J103" s="386">
        <v>85</v>
      </c>
      <c r="K103" s="386">
        <v>85</v>
      </c>
      <c r="L103" s="386">
        <v>85</v>
      </c>
      <c r="M103" s="386">
        <v>85</v>
      </c>
      <c r="N103" s="386">
        <v>85</v>
      </c>
      <c r="O103" s="386">
        <v>85</v>
      </c>
      <c r="P103" s="386">
        <v>85</v>
      </c>
      <c r="Q103" s="386">
        <f t="shared" ref="Q103:Q107" si="16">SUM(E103:P103)</f>
        <v>1020</v>
      </c>
      <c r="R103" s="134">
        <f t="shared" si="10"/>
        <v>1.8612459399291997E-2</v>
      </c>
      <c r="S103" s="148"/>
      <c r="T103" s="40"/>
    </row>
    <row r="104" spans="1:20" s="77" customFormat="1" ht="25.4" customHeight="1">
      <c r="A104" s="3" t="s">
        <v>270</v>
      </c>
      <c r="B104" s="3" t="s">
        <v>368</v>
      </c>
      <c r="C104" s="3"/>
      <c r="D104" s="26" t="s">
        <v>271</v>
      </c>
      <c r="E104" s="386"/>
      <c r="F104" s="386"/>
      <c r="G104" s="386"/>
      <c r="H104" s="386"/>
      <c r="I104" s="386"/>
      <c r="J104" s="386"/>
      <c r="K104" s="386"/>
      <c r="L104" s="386"/>
      <c r="M104" s="386"/>
      <c r="N104" s="386"/>
      <c r="O104" s="386"/>
      <c r="P104" s="386"/>
      <c r="Q104" s="386">
        <f t="shared" si="16"/>
        <v>0</v>
      </c>
      <c r="R104" s="134">
        <f>Q104/$Q$117</f>
        <v>0</v>
      </c>
      <c r="S104" s="148"/>
      <c r="T104" s="40"/>
    </row>
    <row r="105" spans="1:20" s="77" customFormat="1" ht="25.4" customHeight="1">
      <c r="A105" s="3" t="s">
        <v>272</v>
      </c>
      <c r="B105" s="3" t="s">
        <v>368</v>
      </c>
      <c r="C105" s="3"/>
      <c r="D105" s="26" t="s">
        <v>273</v>
      </c>
      <c r="E105" s="386"/>
      <c r="F105" s="386"/>
      <c r="G105" s="386"/>
      <c r="H105" s="386"/>
      <c r="I105" s="386"/>
      <c r="J105" s="386"/>
      <c r="K105" s="386"/>
      <c r="L105" s="386"/>
      <c r="M105" s="386"/>
      <c r="N105" s="386"/>
      <c r="O105" s="386"/>
      <c r="P105" s="386"/>
      <c r="Q105" s="386">
        <f t="shared" si="16"/>
        <v>0</v>
      </c>
      <c r="R105" s="134">
        <f>Q105/$Q$117</f>
        <v>0</v>
      </c>
      <c r="S105" s="148"/>
      <c r="T105" s="40"/>
    </row>
    <row r="106" spans="1:20" s="77" customFormat="1" ht="25.4" customHeight="1">
      <c r="A106" s="3" t="s">
        <v>274</v>
      </c>
      <c r="B106" s="3" t="s">
        <v>368</v>
      </c>
      <c r="C106" s="3"/>
      <c r="D106" s="26" t="s">
        <v>275</v>
      </c>
      <c r="E106" s="386">
        <v>3000</v>
      </c>
      <c r="F106" s="386">
        <v>3000</v>
      </c>
      <c r="G106" s="386">
        <v>3000</v>
      </c>
      <c r="H106" s="386">
        <v>3000</v>
      </c>
      <c r="I106" s="386">
        <v>3000</v>
      </c>
      <c r="J106" s="386">
        <v>3000</v>
      </c>
      <c r="K106" s="386">
        <v>3000</v>
      </c>
      <c r="L106" s="386">
        <v>3000</v>
      </c>
      <c r="M106" s="386">
        <v>3000</v>
      </c>
      <c r="N106" s="386">
        <v>3000</v>
      </c>
      <c r="O106" s="386">
        <v>3000</v>
      </c>
      <c r="P106" s="386">
        <v>3000</v>
      </c>
      <c r="Q106" s="386">
        <f t="shared" si="16"/>
        <v>36000</v>
      </c>
      <c r="R106" s="134">
        <f>Q106/$Q$117</f>
        <v>0.65691033173971758</v>
      </c>
      <c r="S106" s="148"/>
      <c r="T106" s="40"/>
    </row>
    <row r="107" spans="1:20" s="77" customFormat="1" ht="25.4" customHeight="1">
      <c r="A107" s="3" t="s">
        <v>455</v>
      </c>
      <c r="B107" s="3" t="s">
        <v>368</v>
      </c>
      <c r="C107" s="3"/>
      <c r="D107" s="26" t="s">
        <v>464</v>
      </c>
      <c r="E107" s="386">
        <f>+STW!E144</f>
        <v>51829.88</v>
      </c>
      <c r="F107" s="386">
        <f>+STW!F144</f>
        <v>81715.490000000005</v>
      </c>
      <c r="G107" s="386">
        <f>+STW!G144</f>
        <v>48134.02</v>
      </c>
      <c r="H107" s="386">
        <f>+STW!H144</f>
        <v>56053.79</v>
      </c>
      <c r="I107" s="386">
        <f>+STW!I144</f>
        <v>50852.19</v>
      </c>
      <c r="J107" s="386">
        <f>+STW!J144</f>
        <v>47714.01</v>
      </c>
      <c r="K107" s="386">
        <f>+STW!K144</f>
        <v>77980.61</v>
      </c>
      <c r="L107" s="386">
        <f>+STW!L144</f>
        <v>87628</v>
      </c>
      <c r="M107" s="386">
        <f>+STW!M144</f>
        <v>57025.77</v>
      </c>
      <c r="N107" s="386">
        <f>+STW!N144</f>
        <v>46333.36</v>
      </c>
      <c r="O107" s="386">
        <f>+STW!O144</f>
        <v>46860.05</v>
      </c>
      <c r="P107" s="386">
        <f>+STW!P144</f>
        <v>55081.97</v>
      </c>
      <c r="Q107" s="386">
        <f t="shared" si="16"/>
        <v>707209.14</v>
      </c>
      <c r="R107" s="134">
        <f>Q107/$Q$117</f>
        <v>12.904805299076676</v>
      </c>
      <c r="S107" s="148"/>
      <c r="T107" s="40"/>
    </row>
    <row r="108" spans="1:20" s="77" customFormat="1" ht="25.4" customHeight="1">
      <c r="A108" s="3"/>
      <c r="B108" s="3"/>
      <c r="C108" s="3"/>
      <c r="D108" s="19" t="s">
        <v>276</v>
      </c>
      <c r="E108" s="151">
        <f t="shared" ref="E108:Q108" si="17">SUM(E39:E107)</f>
        <v>94880.48</v>
      </c>
      <c r="F108" s="151">
        <f t="shared" si="17"/>
        <v>126465.70999999999</v>
      </c>
      <c r="G108" s="151">
        <f t="shared" si="17"/>
        <v>87026.959999999992</v>
      </c>
      <c r="H108" s="151">
        <f t="shared" si="17"/>
        <v>94671.830000000016</v>
      </c>
      <c r="I108" s="151">
        <f t="shared" si="17"/>
        <v>95110.290000000008</v>
      </c>
      <c r="J108" s="151">
        <f t="shared" si="17"/>
        <v>90538.170000000013</v>
      </c>
      <c r="K108" s="151">
        <f t="shared" si="17"/>
        <v>133736.01999999999</v>
      </c>
      <c r="L108" s="151">
        <f t="shared" si="17"/>
        <v>141363.01</v>
      </c>
      <c r="M108" s="151">
        <f t="shared" si="17"/>
        <v>102974.19999999998</v>
      </c>
      <c r="N108" s="151">
        <f t="shared" si="17"/>
        <v>98738.37</v>
      </c>
      <c r="O108" s="151">
        <f t="shared" si="17"/>
        <v>94372.43</v>
      </c>
      <c r="P108" s="151">
        <f t="shared" si="17"/>
        <v>109427.17</v>
      </c>
      <c r="Q108" s="151">
        <f t="shared" si="17"/>
        <v>1269304.6400000001</v>
      </c>
      <c r="R108" s="134">
        <f>Q108/$Q$117</f>
        <v>23.1616481150323</v>
      </c>
      <c r="S108" s="148"/>
      <c r="T108" s="40"/>
    </row>
    <row r="109" spans="1:20" s="77" customFormat="1" ht="25.4" customHeight="1">
      <c r="A109" s="3"/>
      <c r="B109" s="3"/>
      <c r="C109" s="3"/>
      <c r="D109" s="19" t="s">
        <v>277</v>
      </c>
      <c r="E109" s="151">
        <f t="shared" ref="E109:Q109" si="18">E28-E34-E36-E108</f>
        <v>-156133.12</v>
      </c>
      <c r="F109" s="151">
        <f t="shared" si="18"/>
        <v>-84572.809999999969</v>
      </c>
      <c r="G109" s="151">
        <f t="shared" si="18"/>
        <v>-120800.37999999998</v>
      </c>
      <c r="H109" s="151">
        <f t="shared" si="18"/>
        <v>-132505.26</v>
      </c>
      <c r="I109" s="151">
        <f t="shared" si="18"/>
        <v>-115669.53</v>
      </c>
      <c r="J109" s="151">
        <f t="shared" si="18"/>
        <v>-142590.37000000002</v>
      </c>
      <c r="K109" s="151">
        <f t="shared" si="18"/>
        <v>23030.640000000043</v>
      </c>
      <c r="L109" s="151">
        <f t="shared" si="18"/>
        <v>32087.420000000042</v>
      </c>
      <c r="M109" s="151">
        <f t="shared" si="18"/>
        <v>-186003.05999999997</v>
      </c>
      <c r="N109" s="151">
        <f t="shared" si="18"/>
        <v>-85964.739999999932</v>
      </c>
      <c r="O109" s="151">
        <f t="shared" si="18"/>
        <v>-72955.720000000088</v>
      </c>
      <c r="P109" s="151">
        <f t="shared" si="18"/>
        <v>-43680.719999999987</v>
      </c>
      <c r="Q109" s="151">
        <f t="shared" si="18"/>
        <v>-1085757.6499999994</v>
      </c>
      <c r="R109" s="151"/>
      <c r="S109" s="148"/>
      <c r="T109" s="40"/>
    </row>
    <row r="110" spans="1:20" s="77" customFormat="1" ht="25.4" customHeight="1">
      <c r="A110" s="3"/>
      <c r="B110" s="3"/>
      <c r="C110" s="3"/>
      <c r="D110" s="19" t="s">
        <v>278</v>
      </c>
      <c r="E110" s="129">
        <f t="shared" ref="E110:Q110" si="19">IF(E109=0,0,E109/E28)</f>
        <v>-0.32949347694879055</v>
      </c>
      <c r="F110" s="129">
        <f t="shared" si="19"/>
        <v>-0.14569712474374208</v>
      </c>
      <c r="G110" s="129">
        <f t="shared" si="19"/>
        <v>-0.26608482087790086</v>
      </c>
      <c r="H110" s="129">
        <f t="shared" si="19"/>
        <v>-0.28410218696397943</v>
      </c>
      <c r="I110" s="129">
        <f t="shared" si="19"/>
        <v>-0.22878490531704054</v>
      </c>
      <c r="J110" s="129">
        <f t="shared" si="19"/>
        <v>-0.30989148718840331</v>
      </c>
      <c r="K110" s="129">
        <f t="shared" si="19"/>
        <v>2.8725606364110381E-2</v>
      </c>
      <c r="L110" s="129">
        <f t="shared" si="19"/>
        <v>3.8694693733825718E-2</v>
      </c>
      <c r="M110" s="129">
        <f t="shared" si="19"/>
        <v>-0.45553257249216295</v>
      </c>
      <c r="N110" s="129">
        <f t="shared" si="19"/>
        <v>-0.13533363979559376</v>
      </c>
      <c r="O110" s="129">
        <f t="shared" si="19"/>
        <v>-0.12178366106900826</v>
      </c>
      <c r="P110" s="129">
        <f t="shared" si="19"/>
        <v>-6.5048890106715329E-2</v>
      </c>
      <c r="Q110" s="129">
        <f t="shared" si="19"/>
        <v>-0.15768718713310656</v>
      </c>
      <c r="R110" s="129"/>
      <c r="S110" s="40"/>
      <c r="T110" s="40"/>
    </row>
    <row r="111" spans="1:20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3"/>
      <c r="S111" s="148"/>
      <c r="T111" s="40"/>
    </row>
    <row r="112" spans="1:20" s="77" customFormat="1" ht="28.4" customHeight="1">
      <c r="A112" s="50" t="s">
        <v>457</v>
      </c>
      <c r="B112" s="3" t="s">
        <v>368</v>
      </c>
      <c r="C112" s="3"/>
      <c r="D112" s="26" t="s">
        <v>440</v>
      </c>
      <c r="E112" s="74">
        <v>2910</v>
      </c>
      <c r="F112" s="74">
        <v>4005</v>
      </c>
      <c r="G112" s="74">
        <v>2717</v>
      </c>
      <c r="H112" s="74">
        <v>2874</v>
      </c>
      <c r="I112" s="74">
        <v>3186</v>
      </c>
      <c r="J112" s="74">
        <v>2817</v>
      </c>
      <c r="K112" s="74">
        <v>5866</v>
      </c>
      <c r="L112" s="74">
        <v>6116</v>
      </c>
      <c r="M112" s="74">
        <v>2334</v>
      </c>
      <c r="N112" s="74">
        <v>4352</v>
      </c>
      <c r="O112" s="74">
        <v>4068</v>
      </c>
      <c r="P112" s="74">
        <v>4682</v>
      </c>
      <c r="Q112" s="162">
        <f>SUM(E112:P112)</f>
        <v>45927</v>
      </c>
      <c r="R112" s="162"/>
      <c r="S112" s="148"/>
      <c r="T112" s="40"/>
    </row>
    <row r="113" spans="1:21" s="77" customFormat="1" ht="25.4" customHeight="1">
      <c r="A113" s="3" t="s">
        <v>458</v>
      </c>
      <c r="B113" s="3" t="s">
        <v>368</v>
      </c>
      <c r="C113" s="3"/>
      <c r="D113" s="26" t="s">
        <v>442</v>
      </c>
      <c r="E113" s="74">
        <v>310</v>
      </c>
      <c r="F113" s="74">
        <v>280</v>
      </c>
      <c r="G113" s="74">
        <v>310</v>
      </c>
      <c r="H113" s="74">
        <v>300</v>
      </c>
      <c r="I113" s="74">
        <v>310</v>
      </c>
      <c r="J113" s="74">
        <v>300</v>
      </c>
      <c r="K113" s="74">
        <v>310</v>
      </c>
      <c r="L113" s="74">
        <v>310</v>
      </c>
      <c r="M113" s="74">
        <v>300</v>
      </c>
      <c r="N113" s="74">
        <v>310</v>
      </c>
      <c r="O113" s="74">
        <v>300</v>
      </c>
      <c r="P113" s="74">
        <v>310</v>
      </c>
      <c r="Q113" s="162">
        <f>SUM(E113:P113)</f>
        <v>3650</v>
      </c>
      <c r="R113" s="162"/>
      <c r="S113" s="148"/>
      <c r="T113" s="40"/>
    </row>
    <row r="114" spans="1:21" s="77" customFormat="1" ht="25.4" customHeight="1">
      <c r="A114" s="3" t="s">
        <v>459</v>
      </c>
      <c r="B114" s="3" t="s">
        <v>368</v>
      </c>
      <c r="C114" s="3"/>
      <c r="D114" s="26" t="s">
        <v>444</v>
      </c>
      <c r="E114" s="74">
        <v>310</v>
      </c>
      <c r="F114" s="74">
        <v>280</v>
      </c>
      <c r="G114" s="74">
        <v>310</v>
      </c>
      <c r="H114" s="74">
        <v>300</v>
      </c>
      <c r="I114" s="74">
        <v>310</v>
      </c>
      <c r="J114" s="74">
        <v>300</v>
      </c>
      <c r="K114" s="74">
        <v>310</v>
      </c>
      <c r="L114" s="74">
        <v>310</v>
      </c>
      <c r="M114" s="74">
        <v>300</v>
      </c>
      <c r="N114" s="74">
        <v>310</v>
      </c>
      <c r="O114" s="74">
        <v>300</v>
      </c>
      <c r="P114" s="74">
        <v>310</v>
      </c>
      <c r="Q114" s="162">
        <f>SUM(E114:P114)</f>
        <v>3650</v>
      </c>
      <c r="R114" s="162"/>
      <c r="S114" s="148"/>
      <c r="T114" s="40"/>
    </row>
    <row r="115" spans="1:21" s="77" customFormat="1" ht="25.4" customHeight="1">
      <c r="A115" s="3" t="s">
        <v>460</v>
      </c>
      <c r="B115" s="3" t="s">
        <v>368</v>
      </c>
      <c r="C115" s="3"/>
      <c r="D115" s="26" t="s">
        <v>446</v>
      </c>
      <c r="E115" s="74">
        <v>133</v>
      </c>
      <c r="F115" s="74">
        <v>124</v>
      </c>
      <c r="G115" s="74">
        <v>133</v>
      </c>
      <c r="H115" s="74">
        <v>130</v>
      </c>
      <c r="I115" s="74">
        <v>133</v>
      </c>
      <c r="J115" s="74">
        <v>130</v>
      </c>
      <c r="K115" s="74">
        <v>133</v>
      </c>
      <c r="L115" s="74">
        <v>133</v>
      </c>
      <c r="M115" s="73">
        <v>130</v>
      </c>
      <c r="N115" s="73">
        <v>133</v>
      </c>
      <c r="O115" s="73">
        <v>130</v>
      </c>
      <c r="P115" s="73">
        <v>133</v>
      </c>
      <c r="Q115" s="162">
        <f>SUM(E115:P115)</f>
        <v>1575</v>
      </c>
      <c r="R115" s="162"/>
      <c r="S115" s="148"/>
      <c r="T115" s="40"/>
    </row>
    <row r="116" spans="1:21" s="77" customFormat="1" ht="25.4" customHeight="1">
      <c r="A116" s="3" t="s">
        <v>461</v>
      </c>
      <c r="B116" s="3" t="s">
        <v>368</v>
      </c>
      <c r="C116" s="3"/>
      <c r="D116" s="26" t="s">
        <v>448</v>
      </c>
      <c r="E116" s="74"/>
      <c r="F116" s="74"/>
      <c r="G116" s="74"/>
      <c r="H116" s="74"/>
      <c r="I116" s="74"/>
      <c r="J116" s="74"/>
      <c r="K116" s="74"/>
      <c r="L116" s="74"/>
      <c r="M116" s="27"/>
      <c r="N116" s="27"/>
      <c r="O116" s="27"/>
      <c r="P116" s="27"/>
      <c r="Q116" s="162">
        <f>SUM(E116:P116)</f>
        <v>0</v>
      </c>
      <c r="R116" s="162"/>
      <c r="S116" s="148"/>
      <c r="T116" s="40"/>
    </row>
    <row r="117" spans="1:21" s="77" customFormat="1" ht="25.4" customHeight="1">
      <c r="A117" s="3"/>
      <c r="B117" s="3"/>
      <c r="C117" s="3"/>
      <c r="D117" s="19" t="s">
        <v>427</v>
      </c>
      <c r="E117" s="160">
        <f>SUM(E112:E116)</f>
        <v>3663</v>
      </c>
      <c r="F117" s="160">
        <f t="shared" ref="F117:Q117" si="20">SUM(F112:F116)</f>
        <v>4689</v>
      </c>
      <c r="G117" s="160">
        <f t="shared" si="20"/>
        <v>3470</v>
      </c>
      <c r="H117" s="160">
        <f t="shared" si="20"/>
        <v>3604</v>
      </c>
      <c r="I117" s="160">
        <f t="shared" si="20"/>
        <v>3939</v>
      </c>
      <c r="J117" s="160">
        <f t="shared" si="20"/>
        <v>3547</v>
      </c>
      <c r="K117" s="160">
        <f t="shared" si="20"/>
        <v>6619</v>
      </c>
      <c r="L117" s="160">
        <f t="shared" si="20"/>
        <v>6869</v>
      </c>
      <c r="M117" s="160">
        <f t="shared" si="20"/>
        <v>3064</v>
      </c>
      <c r="N117" s="160">
        <f t="shared" si="20"/>
        <v>5105</v>
      </c>
      <c r="O117" s="160">
        <f t="shared" si="20"/>
        <v>4798</v>
      </c>
      <c r="P117" s="160">
        <f t="shared" si="20"/>
        <v>5435</v>
      </c>
      <c r="Q117" s="160">
        <f t="shared" si="20"/>
        <v>54802</v>
      </c>
      <c r="R117" s="160"/>
      <c r="S117" s="148"/>
      <c r="T117" s="40"/>
    </row>
    <row r="118" spans="1:21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S118" s="148"/>
      <c r="T118" s="40"/>
    </row>
    <row r="119" spans="1:21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S119" s="148"/>
      <c r="T119" s="40"/>
    </row>
    <row r="120" spans="1:21" s="77" customFormat="1" ht="25.4" customHeight="1">
      <c r="A120" s="3"/>
      <c r="B120" s="3"/>
      <c r="C120" s="3"/>
      <c r="D120" s="26" t="s">
        <v>440</v>
      </c>
      <c r="E120" s="61">
        <f t="shared" ref="E120:Q121" si="21">IF(E112=0,0,ROUND(E12/E112,2))</f>
        <v>100</v>
      </c>
      <c r="F120" s="61">
        <f t="shared" si="21"/>
        <v>100</v>
      </c>
      <c r="G120" s="61">
        <f t="shared" si="21"/>
        <v>100</v>
      </c>
      <c r="H120" s="61">
        <f t="shared" si="21"/>
        <v>100</v>
      </c>
      <c r="I120" s="61">
        <f t="shared" si="21"/>
        <v>100</v>
      </c>
      <c r="J120" s="61">
        <f t="shared" si="21"/>
        <v>100</v>
      </c>
      <c r="K120" s="61">
        <f t="shared" si="21"/>
        <v>100</v>
      </c>
      <c r="L120" s="61">
        <f t="shared" si="21"/>
        <v>100</v>
      </c>
      <c r="M120" s="61">
        <f t="shared" si="21"/>
        <v>100</v>
      </c>
      <c r="N120" s="61">
        <f t="shared" si="21"/>
        <v>100</v>
      </c>
      <c r="O120" s="61">
        <f t="shared" si="21"/>
        <v>100</v>
      </c>
      <c r="P120" s="61">
        <f t="shared" si="21"/>
        <v>100</v>
      </c>
      <c r="Q120" s="61">
        <f t="shared" si="21"/>
        <v>100</v>
      </c>
      <c r="R120" s="163"/>
      <c r="S120" s="148" t="s">
        <v>1159</v>
      </c>
      <c r="T120" s="40"/>
    </row>
    <row r="121" spans="1:21" s="77" customFormat="1" ht="25.4" customHeight="1">
      <c r="A121" s="3"/>
      <c r="B121" s="3"/>
      <c r="C121" s="3"/>
      <c r="D121" s="26" t="s">
        <v>442</v>
      </c>
      <c r="E121" s="61">
        <f t="shared" si="21"/>
        <v>190</v>
      </c>
      <c r="F121" s="61">
        <f t="shared" si="21"/>
        <v>190</v>
      </c>
      <c r="G121" s="61">
        <f t="shared" si="21"/>
        <v>190</v>
      </c>
      <c r="H121" s="61">
        <f t="shared" si="21"/>
        <v>190</v>
      </c>
      <c r="I121" s="61">
        <f t="shared" si="21"/>
        <v>190</v>
      </c>
      <c r="J121" s="61">
        <f t="shared" si="21"/>
        <v>190</v>
      </c>
      <c r="K121" s="61">
        <f t="shared" si="21"/>
        <v>190</v>
      </c>
      <c r="L121" s="61">
        <f t="shared" si="21"/>
        <v>190</v>
      </c>
      <c r="M121" s="61">
        <f t="shared" si="21"/>
        <v>190</v>
      </c>
      <c r="N121" s="61">
        <f t="shared" si="21"/>
        <v>190</v>
      </c>
      <c r="O121" s="61">
        <f t="shared" si="21"/>
        <v>190</v>
      </c>
      <c r="P121" s="61">
        <f t="shared" si="21"/>
        <v>190</v>
      </c>
      <c r="Q121" s="61">
        <f t="shared" si="21"/>
        <v>190</v>
      </c>
      <c r="R121" s="163"/>
      <c r="S121" s="148" t="s">
        <v>1159</v>
      </c>
      <c r="T121" s="40"/>
    </row>
    <row r="122" spans="1:21" s="77" customFormat="1" ht="25.4" customHeight="1">
      <c r="A122" s="3"/>
      <c r="B122" s="3"/>
      <c r="C122" s="3"/>
      <c r="D122" s="26" t="s">
        <v>446</v>
      </c>
      <c r="E122" s="61">
        <f t="shared" ref="E122:Q122" si="22">IF(E115=0,0,ROUND(E15/E115,2))</f>
        <v>100</v>
      </c>
      <c r="F122" s="61">
        <f t="shared" si="22"/>
        <v>100</v>
      </c>
      <c r="G122" s="61">
        <f t="shared" si="22"/>
        <v>100</v>
      </c>
      <c r="H122" s="61">
        <f t="shared" si="22"/>
        <v>100</v>
      </c>
      <c r="I122" s="61">
        <f t="shared" si="22"/>
        <v>100</v>
      </c>
      <c r="J122" s="61">
        <f t="shared" si="22"/>
        <v>100</v>
      </c>
      <c r="K122" s="61">
        <f t="shared" si="22"/>
        <v>100</v>
      </c>
      <c r="L122" s="61">
        <f t="shared" si="22"/>
        <v>100</v>
      </c>
      <c r="M122" s="61">
        <f t="shared" si="22"/>
        <v>100</v>
      </c>
      <c r="N122" s="61">
        <f t="shared" si="22"/>
        <v>100</v>
      </c>
      <c r="O122" s="61">
        <f t="shared" si="22"/>
        <v>100</v>
      </c>
      <c r="P122" s="61">
        <f t="shared" si="22"/>
        <v>100</v>
      </c>
      <c r="Q122" s="61">
        <f t="shared" si="22"/>
        <v>100</v>
      </c>
      <c r="R122" s="163"/>
      <c r="S122" s="148" t="s">
        <v>1159</v>
      </c>
      <c r="T122" s="40"/>
    </row>
    <row r="123" spans="1:21" s="77" customFormat="1" ht="25.4" customHeight="1">
      <c r="A123" s="3"/>
      <c r="B123" s="3"/>
      <c r="C123" s="3"/>
      <c r="D123" s="26" t="s">
        <v>444</v>
      </c>
      <c r="E123" s="61">
        <f t="shared" ref="E123:Q123" si="23">IF(E114=0,0,ROUND(E14/E114,2))</f>
        <v>200</v>
      </c>
      <c r="F123" s="61">
        <f t="shared" si="23"/>
        <v>200</v>
      </c>
      <c r="G123" s="61">
        <f t="shared" si="23"/>
        <v>200</v>
      </c>
      <c r="H123" s="61">
        <f t="shared" si="23"/>
        <v>200</v>
      </c>
      <c r="I123" s="61">
        <f t="shared" si="23"/>
        <v>200</v>
      </c>
      <c r="J123" s="61">
        <f t="shared" si="23"/>
        <v>200</v>
      </c>
      <c r="K123" s="61">
        <f t="shared" si="23"/>
        <v>200</v>
      </c>
      <c r="L123" s="61">
        <f t="shared" si="23"/>
        <v>200</v>
      </c>
      <c r="M123" s="61">
        <f t="shared" si="23"/>
        <v>200</v>
      </c>
      <c r="N123" s="61">
        <f t="shared" si="23"/>
        <v>200</v>
      </c>
      <c r="O123" s="61">
        <f t="shared" si="23"/>
        <v>200</v>
      </c>
      <c r="P123" s="61">
        <f t="shared" si="23"/>
        <v>200</v>
      </c>
      <c r="Q123" s="61">
        <f t="shared" si="23"/>
        <v>200</v>
      </c>
      <c r="R123" s="163"/>
      <c r="S123" s="148" t="s">
        <v>1159</v>
      </c>
      <c r="T123" s="40"/>
    </row>
    <row r="124" spans="1:21" s="77" customFormat="1" ht="25.4" customHeight="1">
      <c r="A124" s="3"/>
      <c r="B124" s="3"/>
      <c r="C124" s="3"/>
      <c r="D124" s="26" t="s">
        <v>448</v>
      </c>
      <c r="E124" s="61">
        <f t="shared" ref="E124:Q125" si="24">IF(E116=0,0,ROUND(E16/E116,2))</f>
        <v>0</v>
      </c>
      <c r="F124" s="61">
        <f t="shared" si="24"/>
        <v>0</v>
      </c>
      <c r="G124" s="61">
        <f t="shared" si="24"/>
        <v>0</v>
      </c>
      <c r="H124" s="61">
        <f>IF(H116=0,0,ROUND(H16/H116,2))</f>
        <v>0</v>
      </c>
      <c r="I124" s="61">
        <f>IF(I116=0,0,ROUND(I16/I116,2))</f>
        <v>0</v>
      </c>
      <c r="J124" s="61">
        <f>IF(J116=0,0,ROUND(J16/J116,2))</f>
        <v>0</v>
      </c>
      <c r="K124" s="61">
        <f>IF(K116=0,0,ROUND(K16/K116,2))</f>
        <v>0</v>
      </c>
      <c r="L124" s="61">
        <f t="shared" ref="L124:Q125" si="25">IF(L116=0,0,ROUND(L16/L116,2))</f>
        <v>0</v>
      </c>
      <c r="M124" s="61">
        <f t="shared" si="24"/>
        <v>0</v>
      </c>
      <c r="N124" s="61">
        <f t="shared" si="24"/>
        <v>0</v>
      </c>
      <c r="O124" s="61">
        <f t="shared" si="24"/>
        <v>0</v>
      </c>
      <c r="P124" s="61">
        <f t="shared" si="24"/>
        <v>0</v>
      </c>
      <c r="Q124" s="61">
        <f t="shared" si="24"/>
        <v>0</v>
      </c>
      <c r="R124" s="163"/>
      <c r="S124" s="148" t="s">
        <v>1159</v>
      </c>
      <c r="T124" s="40"/>
    </row>
    <row r="125" spans="1:21" s="77" customFormat="1" ht="25.4" customHeight="1">
      <c r="A125" s="3"/>
      <c r="B125" s="3"/>
      <c r="C125" s="3"/>
      <c r="D125" s="19" t="s">
        <v>429</v>
      </c>
      <c r="E125" s="161">
        <f>IF(E117=0,0,ROUND(E17/E117,2))</f>
        <v>116.08</v>
      </c>
      <c r="F125" s="161">
        <f t="shared" si="24"/>
        <v>111.35</v>
      </c>
      <c r="G125" s="161">
        <f t="shared" si="24"/>
        <v>116.97</v>
      </c>
      <c r="H125" s="161">
        <f t="shared" si="24"/>
        <v>115.82</v>
      </c>
      <c r="I125" s="161">
        <f t="shared" si="24"/>
        <v>114.95</v>
      </c>
      <c r="J125" s="161">
        <f t="shared" si="24"/>
        <v>116.07</v>
      </c>
      <c r="K125" s="161">
        <f t="shared" si="24"/>
        <v>108.9</v>
      </c>
      <c r="L125" s="161">
        <f t="shared" si="25"/>
        <v>108.57</v>
      </c>
      <c r="M125" s="161">
        <f t="shared" si="25"/>
        <v>118.6</v>
      </c>
      <c r="N125" s="161">
        <f t="shared" si="25"/>
        <v>111.54</v>
      </c>
      <c r="O125" s="161">
        <f t="shared" si="25"/>
        <v>111.88</v>
      </c>
      <c r="P125" s="161">
        <f t="shared" si="25"/>
        <v>110.84</v>
      </c>
      <c r="Q125" s="161">
        <f t="shared" si="25"/>
        <v>112.65</v>
      </c>
      <c r="R125" s="164"/>
      <c r="S125" s="148" t="s">
        <v>1159</v>
      </c>
      <c r="T125" s="40"/>
    </row>
    <row r="126" spans="1:21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S126" s="148"/>
      <c r="T126" s="40"/>
    </row>
    <row r="127" spans="1:21" s="77" customFormat="1" ht="25.4" customHeight="1">
      <c r="A127" s="3"/>
      <c r="B127" s="3"/>
      <c r="C127" s="3"/>
      <c r="D127" s="19" t="s">
        <v>430</v>
      </c>
      <c r="E127" s="151">
        <f t="shared" ref="E127:Q127" si="26">IF(E117=0,0,ROUND((E34+E36+E108)/E117,2))</f>
        <v>171.99</v>
      </c>
      <c r="F127" s="151">
        <f t="shared" si="26"/>
        <v>141.83000000000001</v>
      </c>
      <c r="G127" s="151">
        <f t="shared" si="26"/>
        <v>165.65</v>
      </c>
      <c r="H127" s="151">
        <f t="shared" si="26"/>
        <v>166.18</v>
      </c>
      <c r="I127" s="151">
        <f t="shared" si="26"/>
        <v>157.72</v>
      </c>
      <c r="J127" s="151">
        <f t="shared" si="26"/>
        <v>169.92</v>
      </c>
      <c r="K127" s="151">
        <f t="shared" si="26"/>
        <v>117.65</v>
      </c>
      <c r="L127" s="151">
        <f t="shared" si="26"/>
        <v>116.05</v>
      </c>
      <c r="M127" s="151">
        <f t="shared" si="26"/>
        <v>193.97</v>
      </c>
      <c r="N127" s="151">
        <f t="shared" si="26"/>
        <v>141.27000000000001</v>
      </c>
      <c r="O127" s="151">
        <f t="shared" si="26"/>
        <v>140.06</v>
      </c>
      <c r="P127" s="151">
        <f t="shared" si="26"/>
        <v>131.59</v>
      </c>
      <c r="Q127" s="151">
        <f t="shared" si="26"/>
        <v>145.46</v>
      </c>
      <c r="R127" s="151"/>
      <c r="S127" s="148"/>
      <c r="T127" s="40"/>
      <c r="U127" s="319"/>
    </row>
    <row r="128" spans="1:21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S128" s="148"/>
      <c r="T128" s="40"/>
    </row>
    <row r="129" spans="1:20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S129" s="148"/>
      <c r="T129" s="40"/>
    </row>
    <row r="130" spans="1:20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3"/>
      <c r="S130" s="148"/>
      <c r="T130" s="40"/>
    </row>
    <row r="131" spans="1:20" s="77" customFormat="1" ht="25.4" customHeight="1">
      <c r="A131" s="3" t="s">
        <v>297</v>
      </c>
      <c r="B131" s="3" t="s">
        <v>368</v>
      </c>
      <c r="C131" s="3"/>
      <c r="D131" s="3" t="s">
        <v>299</v>
      </c>
      <c r="E131" s="134">
        <v>62500</v>
      </c>
      <c r="F131" s="134">
        <v>62500</v>
      </c>
      <c r="G131" s="134">
        <v>62500</v>
      </c>
      <c r="H131" s="134">
        <v>62500</v>
      </c>
      <c r="I131" s="134">
        <v>62500</v>
      </c>
      <c r="J131" s="134">
        <v>62500</v>
      </c>
      <c r="K131" s="134">
        <v>62500</v>
      </c>
      <c r="L131" s="134">
        <v>62500</v>
      </c>
      <c r="M131" s="134">
        <v>62500</v>
      </c>
      <c r="N131" s="134">
        <v>62500</v>
      </c>
      <c r="O131" s="134">
        <v>62500</v>
      </c>
      <c r="P131" s="134">
        <v>62500</v>
      </c>
      <c r="Q131" s="134">
        <f t="shared" ref="Q131:Q133" si="27">SUM(E131:P131)</f>
        <v>750000</v>
      </c>
      <c r="R131" s="134">
        <f>Q131/$Q$117</f>
        <v>13.685631911244116</v>
      </c>
      <c r="S131" s="148"/>
      <c r="T131" s="40"/>
    </row>
    <row r="132" spans="1:20" s="77" customFormat="1" ht="25.4" customHeight="1">
      <c r="A132" s="3" t="s">
        <v>300</v>
      </c>
      <c r="B132" s="3" t="s">
        <v>368</v>
      </c>
      <c r="C132" s="3"/>
      <c r="D132" s="3" t="s">
        <v>434</v>
      </c>
      <c r="E132" s="134">
        <v>51600</v>
      </c>
      <c r="F132" s="134">
        <v>51600</v>
      </c>
      <c r="G132" s="134">
        <v>51600</v>
      </c>
      <c r="H132" s="134">
        <v>51600</v>
      </c>
      <c r="I132" s="134">
        <v>51600</v>
      </c>
      <c r="J132" s="134">
        <v>51600</v>
      </c>
      <c r="K132" s="134">
        <v>51600</v>
      </c>
      <c r="L132" s="134">
        <v>51600</v>
      </c>
      <c r="M132" s="134">
        <v>51600</v>
      </c>
      <c r="N132" s="134">
        <v>51600</v>
      </c>
      <c r="O132" s="134">
        <v>59600</v>
      </c>
      <c r="P132" s="134">
        <v>59600</v>
      </c>
      <c r="Q132" s="134">
        <f t="shared" si="27"/>
        <v>635200</v>
      </c>
      <c r="R132" s="134">
        <f>Q132/$Q$117</f>
        <v>11.590817853363015</v>
      </c>
      <c r="S132" s="148"/>
      <c r="T132" s="40"/>
    </row>
    <row r="133" spans="1:20" s="77" customFormat="1" ht="25.4" customHeight="1">
      <c r="A133" s="50" t="s">
        <v>300</v>
      </c>
      <c r="B133" s="3" t="s">
        <v>368</v>
      </c>
      <c r="C133" s="3"/>
      <c r="D133" s="3" t="s">
        <v>436</v>
      </c>
      <c r="E133" s="61">
        <v>87050</v>
      </c>
      <c r="F133" s="61">
        <v>87050</v>
      </c>
      <c r="G133" s="61">
        <v>87050</v>
      </c>
      <c r="H133" s="61">
        <v>87050</v>
      </c>
      <c r="I133" s="61">
        <v>87050</v>
      </c>
      <c r="J133" s="61">
        <v>101550</v>
      </c>
      <c r="K133" s="61">
        <v>101550</v>
      </c>
      <c r="L133" s="61">
        <v>101550</v>
      </c>
      <c r="M133" s="61">
        <v>101550</v>
      </c>
      <c r="N133" s="61">
        <v>101550</v>
      </c>
      <c r="O133" s="61">
        <v>101550</v>
      </c>
      <c r="P133" s="61">
        <v>101550</v>
      </c>
      <c r="Q133" s="134">
        <f t="shared" si="27"/>
        <v>1146100</v>
      </c>
      <c r="R133" s="134">
        <f>Q133/$Q$117</f>
        <v>20.913470311302508</v>
      </c>
      <c r="S133" s="148"/>
      <c r="T133" s="40"/>
    </row>
    <row r="134" spans="1:20" s="77" customFormat="1" ht="25.4" customHeight="1">
      <c r="A134" s="3"/>
      <c r="B134" s="3"/>
      <c r="C134" s="3"/>
      <c r="D134" s="19" t="s">
        <v>437</v>
      </c>
      <c r="E134" s="151">
        <f>SUM(E131:E133)</f>
        <v>201150</v>
      </c>
      <c r="F134" s="151">
        <f t="shared" ref="F134:P134" si="28">SUM(F131:F133)</f>
        <v>201150</v>
      </c>
      <c r="G134" s="151">
        <f t="shared" si="28"/>
        <v>201150</v>
      </c>
      <c r="H134" s="151">
        <f t="shared" si="28"/>
        <v>201150</v>
      </c>
      <c r="I134" s="151">
        <f t="shared" si="28"/>
        <v>201150</v>
      </c>
      <c r="J134" s="151">
        <f t="shared" si="28"/>
        <v>215650</v>
      </c>
      <c r="K134" s="151">
        <f t="shared" si="28"/>
        <v>215650</v>
      </c>
      <c r="L134" s="151">
        <f t="shared" si="28"/>
        <v>215650</v>
      </c>
      <c r="M134" s="151">
        <f t="shared" si="28"/>
        <v>215650</v>
      </c>
      <c r="N134" s="151">
        <f t="shared" si="28"/>
        <v>215650</v>
      </c>
      <c r="O134" s="151">
        <f t="shared" si="28"/>
        <v>223650</v>
      </c>
      <c r="P134" s="151">
        <f t="shared" si="28"/>
        <v>223650</v>
      </c>
      <c r="Q134" s="151">
        <f t="shared" ref="Q134" si="29">SUM(Q131:Q133)</f>
        <v>2531300</v>
      </c>
      <c r="R134" s="134">
        <f>Q134/$Q$117</f>
        <v>46.18992007590964</v>
      </c>
      <c r="S134" s="148"/>
      <c r="T134" s="40"/>
    </row>
    <row r="135" spans="1:20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S135" s="148"/>
      <c r="T135" s="40"/>
    </row>
    <row r="136" spans="1:20" s="77" customFormat="1" ht="25.4" customHeight="1">
      <c r="A136" s="3" t="s">
        <v>308</v>
      </c>
      <c r="B136" s="3" t="s">
        <v>368</v>
      </c>
      <c r="C136" s="3"/>
      <c r="D136" s="26" t="s">
        <v>309</v>
      </c>
      <c r="E136" s="61">
        <v>38248.299999999996</v>
      </c>
      <c r="F136" s="61">
        <v>0</v>
      </c>
      <c r="G136" s="61">
        <v>0</v>
      </c>
      <c r="H136" s="61">
        <v>11474.450000000003</v>
      </c>
      <c r="I136" s="61">
        <v>19124.100000000002</v>
      </c>
      <c r="J136" s="61">
        <v>0</v>
      </c>
      <c r="K136" s="61">
        <v>0</v>
      </c>
      <c r="L136" s="61">
        <v>0</v>
      </c>
      <c r="M136" s="61">
        <v>0</v>
      </c>
      <c r="N136" s="61">
        <v>42248.299999999996</v>
      </c>
      <c r="O136" s="61">
        <v>0</v>
      </c>
      <c r="P136" s="61">
        <v>0</v>
      </c>
      <c r="Q136" s="134">
        <f>SUM(E136:P136)</f>
        <v>111095.15</v>
      </c>
      <c r="R136" s="134">
        <f t="shared" ref="R136:R143" si="30">Q136/$Q$117</f>
        <v>2.0272097733659353</v>
      </c>
      <c r="S136" s="148"/>
      <c r="T136" s="40"/>
    </row>
    <row r="137" spans="1:20" s="77" customFormat="1" ht="25.4" customHeight="1">
      <c r="A137" s="3" t="s">
        <v>310</v>
      </c>
      <c r="B137" s="3" t="s">
        <v>368</v>
      </c>
      <c r="C137" s="3"/>
      <c r="D137" s="26" t="s">
        <v>311</v>
      </c>
      <c r="E137" s="61">
        <v>2514.38</v>
      </c>
      <c r="F137" s="61">
        <v>2514.38</v>
      </c>
      <c r="G137" s="61">
        <v>2514.38</v>
      </c>
      <c r="H137" s="61">
        <v>2514.38</v>
      </c>
      <c r="I137" s="61">
        <v>2514.38</v>
      </c>
      <c r="J137" s="61">
        <v>2695.63</v>
      </c>
      <c r="K137" s="61">
        <v>2695.63</v>
      </c>
      <c r="L137" s="61">
        <v>2695.63</v>
      </c>
      <c r="M137" s="61">
        <v>2695.63</v>
      </c>
      <c r="N137" s="61">
        <v>2695.63</v>
      </c>
      <c r="O137" s="61">
        <v>2795.63</v>
      </c>
      <c r="P137" s="61">
        <v>2795.63</v>
      </c>
      <c r="Q137" s="134">
        <f t="shared" ref="Q137:Q142" si="31">SUM(E137:P137)</f>
        <v>31641.310000000009</v>
      </c>
      <c r="R137" s="134">
        <f t="shared" si="30"/>
        <v>0.57737509579942359</v>
      </c>
      <c r="S137" s="148"/>
      <c r="T137" s="40"/>
    </row>
    <row r="138" spans="1:20" s="77" customFormat="1" ht="25.4" customHeight="1">
      <c r="A138" s="3" t="s">
        <v>312</v>
      </c>
      <c r="B138" s="3" t="s">
        <v>368</v>
      </c>
      <c r="C138" s="3"/>
      <c r="D138" s="26" t="s">
        <v>313</v>
      </c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134">
        <f t="shared" si="31"/>
        <v>0</v>
      </c>
      <c r="R138" s="134">
        <f t="shared" si="30"/>
        <v>0</v>
      </c>
      <c r="S138" s="148"/>
      <c r="T138" s="40"/>
    </row>
    <row r="139" spans="1:20" s="77" customFormat="1" ht="25.4" customHeight="1">
      <c r="A139" s="3" t="s">
        <v>314</v>
      </c>
      <c r="B139" s="3" t="s">
        <v>368</v>
      </c>
      <c r="C139" s="3"/>
      <c r="D139" s="26" t="s">
        <v>315</v>
      </c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134">
        <f t="shared" si="31"/>
        <v>0</v>
      </c>
      <c r="R139" s="134">
        <f t="shared" si="30"/>
        <v>0</v>
      </c>
      <c r="S139" s="148"/>
      <c r="T139" s="40"/>
    </row>
    <row r="140" spans="1:20" s="77" customFormat="1" ht="25.4" customHeight="1">
      <c r="A140" s="3" t="s">
        <v>316</v>
      </c>
      <c r="B140" s="3" t="s">
        <v>368</v>
      </c>
      <c r="C140" s="3"/>
      <c r="D140" s="26" t="s">
        <v>317</v>
      </c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134">
        <f t="shared" si="31"/>
        <v>0</v>
      </c>
      <c r="R140" s="134">
        <f t="shared" si="30"/>
        <v>0</v>
      </c>
      <c r="S140" s="148"/>
      <c r="T140" s="40"/>
    </row>
    <row r="141" spans="1:20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" si="32">SUM(E141:P141)</f>
        <v>0</v>
      </c>
      <c r="R141" s="134">
        <f t="shared" ref="R141" si="33">Q141/$Q$117</f>
        <v>0</v>
      </c>
      <c r="S141" s="148"/>
      <c r="T141" s="40"/>
    </row>
    <row r="142" spans="1:20" s="77" customFormat="1" ht="25.4" customHeight="1">
      <c r="A142" s="3" t="s">
        <v>1066</v>
      </c>
      <c r="B142" s="3" t="s">
        <v>368</v>
      </c>
      <c r="C142" s="3"/>
      <c r="D142" s="26" t="s">
        <v>1206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31"/>
        <v>0</v>
      </c>
      <c r="R142" s="134">
        <f t="shared" si="30"/>
        <v>0</v>
      </c>
      <c r="S142" s="148"/>
      <c r="T142" s="40"/>
    </row>
    <row r="143" spans="1:20" s="77" customFormat="1" ht="25.4" customHeight="1">
      <c r="A143" s="3"/>
      <c r="B143" s="3"/>
      <c r="C143" s="3"/>
      <c r="D143" s="19" t="s">
        <v>318</v>
      </c>
      <c r="E143" s="151">
        <f>SUM(E136:E142)</f>
        <v>40762.679999999993</v>
      </c>
      <c r="F143" s="151">
        <f t="shared" ref="F143:P143" si="34">SUM(F136:F142)</f>
        <v>2514.38</v>
      </c>
      <c r="G143" s="151">
        <f t="shared" si="34"/>
        <v>2514.38</v>
      </c>
      <c r="H143" s="151">
        <f t="shared" si="34"/>
        <v>13988.830000000002</v>
      </c>
      <c r="I143" s="151">
        <f t="shared" si="34"/>
        <v>21638.480000000003</v>
      </c>
      <c r="J143" s="151">
        <f t="shared" si="34"/>
        <v>2695.63</v>
      </c>
      <c r="K143" s="151">
        <f t="shared" si="34"/>
        <v>2695.63</v>
      </c>
      <c r="L143" s="151">
        <f t="shared" si="34"/>
        <v>2695.63</v>
      </c>
      <c r="M143" s="151">
        <f t="shared" si="34"/>
        <v>2695.63</v>
      </c>
      <c r="N143" s="151">
        <f t="shared" si="34"/>
        <v>44943.929999999993</v>
      </c>
      <c r="O143" s="151">
        <f t="shared" si="34"/>
        <v>2795.63</v>
      </c>
      <c r="P143" s="151">
        <f t="shared" si="34"/>
        <v>2795.63</v>
      </c>
      <c r="Q143" s="151">
        <f t="shared" ref="Q143" si="35">SUM(Q136:Q142)</f>
        <v>142736.46</v>
      </c>
      <c r="R143" s="134">
        <f t="shared" si="30"/>
        <v>2.6045848691653588</v>
      </c>
      <c r="S143" s="148"/>
      <c r="T143" s="40"/>
    </row>
    <row r="144" spans="1:20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S144" s="148"/>
      <c r="T144" s="40"/>
    </row>
    <row r="145" spans="1:20" s="77" customFormat="1" ht="25.4" customHeight="1">
      <c r="A145" s="3" t="s">
        <v>319</v>
      </c>
      <c r="B145" s="3" t="s">
        <v>368</v>
      </c>
      <c r="C145" s="3"/>
      <c r="D145" s="26" t="s">
        <v>320</v>
      </c>
      <c r="E145" s="61">
        <v>27571.500000000007</v>
      </c>
      <c r="F145" s="61">
        <v>27571.500000000004</v>
      </c>
      <c r="G145" s="61">
        <v>27571.5</v>
      </c>
      <c r="H145" s="61">
        <v>27571.5</v>
      </c>
      <c r="I145" s="61">
        <v>27571.5</v>
      </c>
      <c r="J145" s="61">
        <v>29910.300000000003</v>
      </c>
      <c r="K145" s="61">
        <v>29910.300000000003</v>
      </c>
      <c r="L145" s="61">
        <v>29910.300000000003</v>
      </c>
      <c r="M145" s="61">
        <v>29910.300000000003</v>
      </c>
      <c r="N145" s="61">
        <v>29910.300000000003</v>
      </c>
      <c r="O145" s="61">
        <v>31110.300000000003</v>
      </c>
      <c r="P145" s="61">
        <v>31110.300000000003</v>
      </c>
      <c r="Q145" s="134">
        <f>SUM(E145:P145)</f>
        <v>349629.59999999992</v>
      </c>
      <c r="R145" s="134">
        <f t="shared" ref="R145:R153" si="36">Q145/$Q$117</f>
        <v>6.3798693478340196</v>
      </c>
      <c r="S145" s="148"/>
      <c r="T145" s="40"/>
    </row>
    <row r="146" spans="1:20" s="77" customFormat="1" ht="25.4" customHeight="1">
      <c r="A146" s="3" t="s">
        <v>321</v>
      </c>
      <c r="B146" s="3" t="s">
        <v>368</v>
      </c>
      <c r="C146" s="3"/>
      <c r="D146" s="26" t="s">
        <v>322</v>
      </c>
      <c r="E146" s="61">
        <v>10685.939999999999</v>
      </c>
      <c r="F146" s="61">
        <v>10685.939999999999</v>
      </c>
      <c r="G146" s="61">
        <v>10685.939999999999</v>
      </c>
      <c r="H146" s="61">
        <v>10685.939999999999</v>
      </c>
      <c r="I146" s="61">
        <v>10685.939999999999</v>
      </c>
      <c r="J146" s="61">
        <v>11555.939999999999</v>
      </c>
      <c r="K146" s="61">
        <v>11555.939999999999</v>
      </c>
      <c r="L146" s="61">
        <v>11555.939999999999</v>
      </c>
      <c r="M146" s="61">
        <v>11555.939999999999</v>
      </c>
      <c r="N146" s="61">
        <v>11555.939999999999</v>
      </c>
      <c r="O146" s="61">
        <v>12035.939999999999</v>
      </c>
      <c r="P146" s="61">
        <v>12035.939999999999</v>
      </c>
      <c r="Q146" s="134">
        <f t="shared" ref="Q146:Q152" si="37">SUM(E146:P146)</f>
        <v>135281.28</v>
      </c>
      <c r="R146" s="134">
        <f t="shared" si="36"/>
        <v>2.4685464034159339</v>
      </c>
      <c r="S146" s="148"/>
      <c r="T146" s="40"/>
    </row>
    <row r="147" spans="1:20" s="77" customFormat="1" ht="25.4" customHeight="1">
      <c r="A147" s="3" t="s">
        <v>323</v>
      </c>
      <c r="B147" s="3" t="s">
        <v>368</v>
      </c>
      <c r="C147" s="3"/>
      <c r="D147" s="26" t="s">
        <v>324</v>
      </c>
      <c r="E147" s="61">
        <v>1441.2000000000003</v>
      </c>
      <c r="F147" s="61">
        <v>1441.1999999999998</v>
      </c>
      <c r="G147" s="61">
        <v>1441.2</v>
      </c>
      <c r="H147" s="61">
        <v>1441.2</v>
      </c>
      <c r="I147" s="61">
        <v>1441.2</v>
      </c>
      <c r="J147" s="61">
        <v>1557.2</v>
      </c>
      <c r="K147" s="61">
        <v>1557.2</v>
      </c>
      <c r="L147" s="61">
        <v>1557.2</v>
      </c>
      <c r="M147" s="61">
        <v>1557.2</v>
      </c>
      <c r="N147" s="61">
        <v>1557.2</v>
      </c>
      <c r="O147" s="61">
        <v>1621.2</v>
      </c>
      <c r="P147" s="61">
        <v>1621.2</v>
      </c>
      <c r="Q147" s="134">
        <f t="shared" si="37"/>
        <v>18234.400000000005</v>
      </c>
      <c r="R147" s="134">
        <f t="shared" si="36"/>
        <v>0.332732382029853</v>
      </c>
      <c r="S147" s="148"/>
      <c r="T147" s="40"/>
    </row>
    <row r="148" spans="1:20" s="77" customFormat="1" ht="25.4" customHeight="1">
      <c r="A148" s="3" t="s">
        <v>325</v>
      </c>
      <c r="B148" s="3" t="s">
        <v>368</v>
      </c>
      <c r="C148" s="3"/>
      <c r="D148" s="26" t="s">
        <v>326</v>
      </c>
      <c r="E148" s="61">
        <v>720.60000000000014</v>
      </c>
      <c r="F148" s="61">
        <v>720.59999999999991</v>
      </c>
      <c r="G148" s="61">
        <v>720.6</v>
      </c>
      <c r="H148" s="61">
        <v>720.6</v>
      </c>
      <c r="I148" s="61">
        <v>720.6</v>
      </c>
      <c r="J148" s="61">
        <v>778.6</v>
      </c>
      <c r="K148" s="61">
        <v>778.6</v>
      </c>
      <c r="L148" s="61">
        <v>778.6</v>
      </c>
      <c r="M148" s="61">
        <v>778.6</v>
      </c>
      <c r="N148" s="61">
        <v>778.6</v>
      </c>
      <c r="O148" s="61">
        <v>810.6</v>
      </c>
      <c r="P148" s="61">
        <v>810.6</v>
      </c>
      <c r="Q148" s="134">
        <f t="shared" si="37"/>
        <v>9117.2000000000025</v>
      </c>
      <c r="R148" s="134">
        <f t="shared" si="36"/>
        <v>0.1663661910149265</v>
      </c>
      <c r="S148" s="148"/>
      <c r="T148" s="40"/>
    </row>
    <row r="149" spans="1:20" s="77" customFormat="1" ht="25.4" customHeight="1">
      <c r="A149" s="3" t="s">
        <v>327</v>
      </c>
      <c r="B149" s="3" t="s">
        <v>368</v>
      </c>
      <c r="C149" s="3"/>
      <c r="D149" s="26" t="s">
        <v>328</v>
      </c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134">
        <f t="shared" si="37"/>
        <v>0</v>
      </c>
      <c r="R149" s="134">
        <f t="shared" si="36"/>
        <v>0</v>
      </c>
      <c r="S149" s="148"/>
      <c r="T149" s="40"/>
    </row>
    <row r="150" spans="1:20" s="77" customFormat="1" ht="25.4" customHeight="1">
      <c r="A150" s="3" t="s">
        <v>329</v>
      </c>
      <c r="B150" s="3" t="s">
        <v>368</v>
      </c>
      <c r="C150" s="3"/>
      <c r="D150" s="26" t="s">
        <v>330</v>
      </c>
      <c r="E150" s="61">
        <v>14412</v>
      </c>
      <c r="F150" s="61">
        <v>14412</v>
      </c>
      <c r="G150" s="61">
        <v>14412</v>
      </c>
      <c r="H150" s="61">
        <v>14412</v>
      </c>
      <c r="I150" s="61">
        <v>14412</v>
      </c>
      <c r="J150" s="61">
        <v>15572</v>
      </c>
      <c r="K150" s="61">
        <v>15572</v>
      </c>
      <c r="L150" s="61">
        <v>15572</v>
      </c>
      <c r="M150" s="61">
        <v>15572</v>
      </c>
      <c r="N150" s="61">
        <v>15572</v>
      </c>
      <c r="O150" s="61">
        <v>16212</v>
      </c>
      <c r="P150" s="61">
        <v>16212</v>
      </c>
      <c r="Q150" s="134">
        <f t="shared" si="37"/>
        <v>182344</v>
      </c>
      <c r="R150" s="134">
        <f t="shared" si="36"/>
        <v>3.3273238202985294</v>
      </c>
      <c r="S150" s="148"/>
      <c r="T150" s="40"/>
    </row>
    <row r="151" spans="1:20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4023</v>
      </c>
      <c r="F151" s="61">
        <v>4023</v>
      </c>
      <c r="G151" s="61">
        <v>4023</v>
      </c>
      <c r="H151" s="61">
        <v>4023</v>
      </c>
      <c r="I151" s="61">
        <v>4023</v>
      </c>
      <c r="J151" s="61">
        <v>4313</v>
      </c>
      <c r="K151" s="61">
        <v>4313</v>
      </c>
      <c r="L151" s="61">
        <v>4313</v>
      </c>
      <c r="M151" s="61">
        <v>4313</v>
      </c>
      <c r="N151" s="61">
        <v>4313</v>
      </c>
      <c r="O151" s="61">
        <v>4473</v>
      </c>
      <c r="P151" s="61">
        <v>4473</v>
      </c>
      <c r="Q151" s="134">
        <f t="shared" si="37"/>
        <v>50626</v>
      </c>
      <c r="R151" s="134">
        <f t="shared" si="36"/>
        <v>0.92379840151819281</v>
      </c>
      <c r="S151" s="148"/>
      <c r="T151" s="40"/>
    </row>
    <row r="152" spans="1:20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134">
        <f t="shared" si="37"/>
        <v>0</v>
      </c>
      <c r="R152" s="134">
        <f t="shared" si="36"/>
        <v>0</v>
      </c>
      <c r="S152" s="148"/>
      <c r="T152" s="40"/>
    </row>
    <row r="153" spans="1:20" s="77" customFormat="1" ht="25.4" customHeight="1">
      <c r="A153" s="3"/>
      <c r="B153" s="3"/>
      <c r="C153" s="3"/>
      <c r="D153" s="19" t="s">
        <v>335</v>
      </c>
      <c r="E153" s="151">
        <f>SUM(E145:E152)</f>
        <v>58854.239999999998</v>
      </c>
      <c r="F153" s="151">
        <f t="shared" ref="F153:P153" si="38">SUM(F145:F152)</f>
        <v>58854.239999999998</v>
      </c>
      <c r="G153" s="151">
        <f t="shared" si="38"/>
        <v>58854.239999999998</v>
      </c>
      <c r="H153" s="151">
        <f t="shared" si="38"/>
        <v>58854.239999999998</v>
      </c>
      <c r="I153" s="151">
        <f t="shared" si="38"/>
        <v>58854.239999999998</v>
      </c>
      <c r="J153" s="151">
        <f t="shared" si="38"/>
        <v>63687.040000000001</v>
      </c>
      <c r="K153" s="151">
        <f t="shared" si="38"/>
        <v>63687.040000000001</v>
      </c>
      <c r="L153" s="151">
        <f t="shared" si="38"/>
        <v>63687.040000000001</v>
      </c>
      <c r="M153" s="151">
        <f t="shared" si="38"/>
        <v>63687.040000000001</v>
      </c>
      <c r="N153" s="151">
        <f t="shared" si="38"/>
        <v>63687.040000000001</v>
      </c>
      <c r="O153" s="151">
        <f t="shared" si="38"/>
        <v>66263.040000000008</v>
      </c>
      <c r="P153" s="151">
        <f t="shared" si="38"/>
        <v>66263.040000000008</v>
      </c>
      <c r="Q153" s="151">
        <f t="shared" ref="Q153" si="39">SUM(Q145:Q152)</f>
        <v>745232.48</v>
      </c>
      <c r="R153" s="134">
        <f t="shared" si="36"/>
        <v>13.598636546111456</v>
      </c>
      <c r="S153" s="148"/>
      <c r="T153" s="40"/>
    </row>
    <row r="154" spans="1:20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S154" s="148"/>
      <c r="T154" s="40"/>
    </row>
    <row r="155" spans="1:20" s="77" customFormat="1" ht="25.4" customHeight="1">
      <c r="A155" s="3" t="s">
        <v>336</v>
      </c>
      <c r="B155" s="3" t="s">
        <v>403</v>
      </c>
      <c r="C155" s="3"/>
      <c r="D155" s="26" t="s">
        <v>337</v>
      </c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134">
        <f>SUM(E155:P155)</f>
        <v>0</v>
      </c>
      <c r="R155" s="134">
        <f t="shared" ref="R155:R163" si="40">Q155/$Q$117</f>
        <v>0</v>
      </c>
      <c r="S155" s="148"/>
      <c r="T155" s="40"/>
    </row>
    <row r="156" spans="1:20" s="77" customFormat="1" ht="25.4" customHeight="1">
      <c r="A156" s="3" t="s">
        <v>338</v>
      </c>
      <c r="B156" s="3" t="s">
        <v>403</v>
      </c>
      <c r="C156" s="3"/>
      <c r="D156" s="3" t="s">
        <v>339</v>
      </c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134">
        <f t="shared" ref="Q156:Q161" si="41">SUM(E156:P156)</f>
        <v>0</v>
      </c>
      <c r="R156" s="134">
        <f t="shared" si="40"/>
        <v>0</v>
      </c>
      <c r="S156" s="148"/>
      <c r="T156" s="40"/>
    </row>
    <row r="157" spans="1:20" s="77" customFormat="1" ht="25.4" customHeight="1">
      <c r="A157" s="3" t="s">
        <v>340</v>
      </c>
      <c r="B157" s="3" t="s">
        <v>403</v>
      </c>
      <c r="C157" s="3"/>
      <c r="D157" s="26" t="s">
        <v>341</v>
      </c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134">
        <f t="shared" si="41"/>
        <v>0</v>
      </c>
      <c r="R157" s="134">
        <f t="shared" si="40"/>
        <v>0</v>
      </c>
      <c r="S157" s="148"/>
      <c r="T157" s="40"/>
    </row>
    <row r="158" spans="1:20" s="77" customFormat="1" ht="25.4" customHeight="1">
      <c r="A158" s="3" t="s">
        <v>342</v>
      </c>
      <c r="B158" s="3" t="s">
        <v>403</v>
      </c>
      <c r="C158" s="3"/>
      <c r="D158" s="26" t="s">
        <v>343</v>
      </c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134">
        <f t="shared" si="41"/>
        <v>0</v>
      </c>
      <c r="R158" s="134">
        <f t="shared" si="40"/>
        <v>0</v>
      </c>
      <c r="S158" s="148"/>
      <c r="T158" s="40"/>
    </row>
    <row r="159" spans="1:20" s="77" customFormat="1" ht="25.4" customHeight="1">
      <c r="A159" s="3" t="s">
        <v>344</v>
      </c>
      <c r="B159" s="3" t="s">
        <v>368</v>
      </c>
      <c r="C159" s="3"/>
      <c r="D159" s="26" t="s">
        <v>345</v>
      </c>
      <c r="E159" s="61">
        <v>2040</v>
      </c>
      <c r="F159" s="61">
        <v>2720</v>
      </c>
      <c r="G159" s="61">
        <v>2040</v>
      </c>
      <c r="H159" s="61">
        <v>2040</v>
      </c>
      <c r="I159" s="61">
        <v>2040</v>
      </c>
      <c r="J159" s="61">
        <v>2220</v>
      </c>
      <c r="K159" s="61">
        <v>2220</v>
      </c>
      <c r="L159" s="61">
        <v>2220</v>
      </c>
      <c r="M159" s="61">
        <v>2220</v>
      </c>
      <c r="N159" s="61">
        <v>2220</v>
      </c>
      <c r="O159" s="61">
        <v>2280</v>
      </c>
      <c r="P159" s="61">
        <v>2280</v>
      </c>
      <c r="Q159" s="134">
        <f t="shared" si="41"/>
        <v>26540</v>
      </c>
      <c r="R159" s="134">
        <f t="shared" si="40"/>
        <v>0.48428889456589175</v>
      </c>
      <c r="S159" s="148"/>
      <c r="T159" s="40"/>
    </row>
    <row r="160" spans="1:20" s="77" customFormat="1" ht="25.4" customHeight="1">
      <c r="A160" s="3" t="s">
        <v>346</v>
      </c>
      <c r="B160" s="3" t="s">
        <v>368</v>
      </c>
      <c r="C160" s="3"/>
      <c r="D160" s="26" t="s">
        <v>347</v>
      </c>
      <c r="E160" s="61">
        <v>12094.819999999991</v>
      </c>
      <c r="F160" s="61">
        <v>12047.22</v>
      </c>
      <c r="G160" s="61">
        <v>11999.960000000001</v>
      </c>
      <c r="H160" s="61">
        <v>11953.039999999999</v>
      </c>
      <c r="I160" s="61">
        <v>11635.13999999999</v>
      </c>
      <c r="J160" s="61">
        <v>12471.96</v>
      </c>
      <c r="K160" s="61">
        <v>12242.559999999992</v>
      </c>
      <c r="L160" s="61">
        <v>12242.559999999992</v>
      </c>
      <c r="M160" s="61">
        <v>12153.389999999996</v>
      </c>
      <c r="N160" s="61">
        <v>12065.330000000004</v>
      </c>
      <c r="O160" s="61">
        <v>12346.579999999996</v>
      </c>
      <c r="P160" s="61">
        <v>12302.119999999994</v>
      </c>
      <c r="Q160" s="134">
        <f t="shared" si="41"/>
        <v>145554.67999999996</v>
      </c>
      <c r="R160" s="134">
        <f t="shared" si="40"/>
        <v>2.6560103645852333</v>
      </c>
      <c r="S160" s="148"/>
      <c r="T160" s="40"/>
    </row>
    <row r="161" spans="1:20" s="77" customFormat="1" ht="25.4" customHeight="1">
      <c r="A161" s="3" t="s">
        <v>348</v>
      </c>
      <c r="B161" s="3" t="s">
        <v>368</v>
      </c>
      <c r="C161" s="3"/>
      <c r="D161" s="26" t="s">
        <v>349</v>
      </c>
      <c r="E161" s="61">
        <v>35810.5</v>
      </c>
      <c r="F161" s="61">
        <v>35220.259999999987</v>
      </c>
      <c r="G161" s="61">
        <v>34760.240000000013</v>
      </c>
      <c r="H161" s="61">
        <v>34917.32</v>
      </c>
      <c r="I161" s="61">
        <v>34209.77999999997</v>
      </c>
      <c r="J161" s="61">
        <v>36578.570000000014</v>
      </c>
      <c r="K161" s="61">
        <v>36283.310000000005</v>
      </c>
      <c r="L161" s="61">
        <v>36349.539999999964</v>
      </c>
      <c r="M161" s="61">
        <v>36496.800000000025</v>
      </c>
      <c r="N161" s="61">
        <v>36767.269999999975</v>
      </c>
      <c r="O161" s="61">
        <v>37300.040000000037</v>
      </c>
      <c r="P161" s="61">
        <v>37179.959999999963</v>
      </c>
      <c r="Q161" s="134">
        <f t="shared" si="41"/>
        <v>431873.58999999997</v>
      </c>
      <c r="R161" s="134">
        <f t="shared" si="40"/>
        <v>7.8806173132367423</v>
      </c>
      <c r="S161" s="148"/>
      <c r="T161" s="40"/>
    </row>
    <row r="162" spans="1:20" s="77" customFormat="1" ht="25.4" customHeight="1">
      <c r="A162" s="3"/>
      <c r="B162" s="3"/>
      <c r="C162" s="3"/>
      <c r="D162" s="19" t="s">
        <v>350</v>
      </c>
      <c r="E162" s="151">
        <f>SUM(E155:E161)</f>
        <v>49945.319999999992</v>
      </c>
      <c r="F162" s="151">
        <f t="shared" ref="F162:P162" si="42">SUM(F155:F161)</f>
        <v>49987.479999999989</v>
      </c>
      <c r="G162" s="151">
        <f t="shared" si="42"/>
        <v>48800.200000000012</v>
      </c>
      <c r="H162" s="151">
        <f t="shared" si="42"/>
        <v>48910.36</v>
      </c>
      <c r="I162" s="151">
        <f t="shared" si="42"/>
        <v>47884.919999999962</v>
      </c>
      <c r="J162" s="151">
        <f t="shared" si="42"/>
        <v>51270.530000000013</v>
      </c>
      <c r="K162" s="151">
        <f t="shared" si="42"/>
        <v>50745.869999999995</v>
      </c>
      <c r="L162" s="151">
        <f t="shared" si="42"/>
        <v>50812.099999999955</v>
      </c>
      <c r="M162" s="151">
        <f t="shared" si="42"/>
        <v>50870.190000000017</v>
      </c>
      <c r="N162" s="151">
        <f t="shared" si="42"/>
        <v>51052.599999999977</v>
      </c>
      <c r="O162" s="151">
        <f t="shared" si="42"/>
        <v>51926.620000000032</v>
      </c>
      <c r="P162" s="151">
        <f t="shared" si="42"/>
        <v>51762.079999999958</v>
      </c>
      <c r="Q162" s="151">
        <f t="shared" ref="Q162" si="43">SUM(Q155:Q161)</f>
        <v>603968.2699999999</v>
      </c>
      <c r="R162" s="134">
        <f t="shared" si="40"/>
        <v>11.020916572387867</v>
      </c>
      <c r="S162" s="148"/>
      <c r="T162" s="40"/>
    </row>
    <row r="163" spans="1:20" s="77" customFormat="1" ht="25.4" customHeight="1">
      <c r="A163" s="3"/>
      <c r="B163" s="3"/>
      <c r="C163" s="3"/>
      <c r="D163" s="19" t="s">
        <v>351</v>
      </c>
      <c r="E163" s="151">
        <f>E134+E143+E153+E162</f>
        <v>350712.24</v>
      </c>
      <c r="F163" s="151">
        <f t="shared" ref="F163:P163" si="44">F134+F143+F153+F162</f>
        <v>312506.09999999998</v>
      </c>
      <c r="G163" s="151">
        <f t="shared" si="44"/>
        <v>311318.82</v>
      </c>
      <c r="H163" s="151">
        <f t="shared" si="44"/>
        <v>322903.43</v>
      </c>
      <c r="I163" s="151">
        <f t="shared" si="44"/>
        <v>329527.64</v>
      </c>
      <c r="J163" s="151">
        <f t="shared" si="44"/>
        <v>333303.2</v>
      </c>
      <c r="K163" s="151">
        <f t="shared" si="44"/>
        <v>332778.53999999998</v>
      </c>
      <c r="L163" s="151">
        <f t="shared" si="44"/>
        <v>332844.76999999996</v>
      </c>
      <c r="M163" s="151">
        <f t="shared" si="44"/>
        <v>332902.86</v>
      </c>
      <c r="N163" s="151">
        <f t="shared" si="44"/>
        <v>375333.56999999995</v>
      </c>
      <c r="O163" s="151">
        <f t="shared" si="44"/>
        <v>344635.2900000001</v>
      </c>
      <c r="P163" s="151">
        <f t="shared" si="44"/>
        <v>344470.75</v>
      </c>
      <c r="Q163" s="151">
        <f t="shared" ref="Q163" si="45">Q134+Q143+Q153+Q162</f>
        <v>4023237.21</v>
      </c>
      <c r="R163" s="134">
        <f t="shared" si="40"/>
        <v>73.414058063574316</v>
      </c>
      <c r="S163" s="148"/>
      <c r="T163" s="40"/>
    </row>
    <row r="164" spans="1:20" s="42" customFormat="1" ht="25.4" customHeight="1">
      <c r="Q164" s="42">
        <f>Q163-Q142-Q141</f>
        <v>4023237.21</v>
      </c>
      <c r="S164" s="148"/>
      <c r="T164" s="40"/>
    </row>
    <row r="165" spans="1:20" s="77" customFormat="1" ht="25.4" customHeight="1">
      <c r="A165" s="3" t="s">
        <v>108</v>
      </c>
      <c r="B165" s="3" t="s">
        <v>368</v>
      </c>
      <c r="C165" s="3"/>
      <c r="D165" s="19" t="s">
        <v>354</v>
      </c>
      <c r="E165" s="65">
        <v>34</v>
      </c>
      <c r="F165" s="65">
        <v>34</v>
      </c>
      <c r="G165" s="65">
        <v>34</v>
      </c>
      <c r="H165" s="65">
        <v>34</v>
      </c>
      <c r="I165" s="65">
        <v>34</v>
      </c>
      <c r="J165" s="65">
        <v>37</v>
      </c>
      <c r="K165" s="65">
        <v>37</v>
      </c>
      <c r="L165" s="65">
        <v>37</v>
      </c>
      <c r="M165" s="65">
        <v>37</v>
      </c>
      <c r="N165" s="65">
        <v>37</v>
      </c>
      <c r="O165" s="65">
        <v>38</v>
      </c>
      <c r="P165" s="65">
        <v>38</v>
      </c>
      <c r="Q165" s="157">
        <f>SUM(E165:P165)/12</f>
        <v>35.916666666666664</v>
      </c>
      <c r="R165" s="158"/>
      <c r="S165" s="148"/>
      <c r="T165" s="40"/>
    </row>
  </sheetData>
  <phoneticPr fontId="56" type="noConversion"/>
  <dataValidations count="48">
    <dataValidation type="textLength" errorStyle="information" allowBlank="1" showInputMessage="1" showErrorMessage="1" error="XLBVal:6=105870_x000d__x000a_" sqref="Q114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209604.31_x000d__x000a_" sqref="E27:P27">
      <formula1>0</formula1>
      <formula2>300</formula2>
    </dataValidation>
    <dataValidation type="textLength" errorStyle="information" allowBlank="1" showInputMessage="1" showErrorMessage="1" error="XLBVal:6=623590.56_x000d__x000a_" sqref="E15:P15">
      <formula1>0</formula1>
      <formula2>300</formula2>
    </dataValidation>
    <dataValidation type="textLength" errorStyle="information" allowBlank="1" showInputMessage="1" showErrorMessage="1" error="XLBVal:6=44987.9_x000d__x000a_" sqref="E21:P21">
      <formula1>0</formula1>
      <formula2>300</formula2>
    </dataValidation>
    <dataValidation type="textLength" errorStyle="information" allowBlank="1" showInputMessage="1" showErrorMessage="1" error="XLBVal:6=458670.58_x000d__x000a_" sqref="E12:P12">
      <formula1>0</formula1>
      <formula2>300</formula2>
    </dataValidation>
    <dataValidation type="textLength" errorStyle="information" allowBlank="1" showInputMessage="1" showErrorMessage="1" error="XLBVal:6=13695725_x000d__x000a_" sqref="Q14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28034847_x000d__x000a_" sqref="Q15">
      <formula1>0</formula1>
      <formula2>300</formula2>
    </dataValidation>
    <dataValidation type="textLength" errorStyle="information" allowBlank="1" showInputMessage="1" showErrorMessage="1" error="XLBVal:6=4423_x000d__x000a_" sqref="E112:P112">
      <formula1>0</formula1>
      <formula2>300</formula2>
    </dataValidation>
    <dataValidation type="textLength" errorStyle="information" allowBlank="1" showInputMessage="1" showErrorMessage="1" error="XLBVal:2=0_x000d__x000a_" sqref="E14:P14 E16:P16 R136:R143 N26:P26 E33:Q33 E35:L35 E136:P142 E108:Q108 E117:R117 E152:P152 R165 Q12:R13 Q155:Q161 R14:R16 R26:R27 R31:R33 R39:R108 R114:R116 R131:R134 R145:R153 R155:R163 Q112:R113 E22:P22 E114:P116 Q20:R24 F37:F38 E155:P158 E131:P131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8814300_x000d__x000a_" sqref="Q16">
      <formula1>0</formula1>
      <formula2>300</formula2>
    </dataValidation>
    <dataValidation type="textLength" errorStyle="information" allowBlank="1" showInputMessage="1" showErrorMessage="1" error="XLBVal:5=2443234.73_x000d__x000a_" sqref="E29:E30">
      <formula1>0</formula1>
      <formula2>300</formula2>
    </dataValidation>
    <dataValidation type="textLength" errorStyle="information" allowBlank="1" showInputMessage="1" showErrorMessage="1" error="XLBVal:5=1285238.57_x000d__x000a_" sqref="F17:R17 E25:R25 E34:R34 R36 E17:E19 F18:P19">
      <formula1>0</formula1>
      <formula2>300</formula2>
    </dataValidation>
    <dataValidation type="textLength" errorStyle="information" allowBlank="1" showInputMessage="1" showErrorMessage="1" error="XLBVal:6=3973_x000d__x000a_" sqref="E113:P113">
      <formula1>0</formula1>
      <formula2>300</formula2>
    </dataValidation>
    <dataValidation type="textLength" errorStyle="information" allowBlank="1" showInputMessage="1" showErrorMessage="1" error="XLBVal:6=7235.47_x000d__x000a_" sqref="E20:P20 E23:P24">
      <formula1>0</formula1>
      <formula2>300</formula2>
    </dataValidation>
    <dataValidation type="textLength" errorStyle="information" allowBlank="1" showInputMessage="1" showErrorMessage="1" error="XLBVal:6=21065.12_x000d__x000a_" sqref="E32:P32">
      <formula1>0</formula1>
      <formula2>300</formula2>
    </dataValidation>
    <dataValidation type="textLength" errorStyle="information" allowBlank="1" showInputMessage="1" showErrorMessage="1" error="XLBVal:6=38233.14_x000d__x000a_" sqref="E26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6=27356.03_x000d__x000a_" sqref="F26">
      <formula1>0</formula1>
      <formula2>300</formula2>
    </dataValidation>
    <dataValidation type="textLength" errorStyle="information" allowBlank="1" showInputMessage="1" showErrorMessage="1" error="XLBVal:6=4300_x000d__x000a_" sqref="G26:L26">
      <formula1>0</formula1>
      <formula2>300</formula2>
    </dataValidation>
    <dataValidation type="textLength" errorStyle="information" allowBlank="1" showInputMessage="1" showErrorMessage="1" error="XLBVal:6=280000_x000d__x000a_" sqref="M26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25196619_x000d__x000a_" sqref="Q31">
      <formula1>0</formula1>
      <formula2>300</formula2>
    </dataValidation>
    <dataValidation type="textLength" errorStyle="information" allowBlank="1" showInputMessage="1" showErrorMessage="1" error="XLBVal:6=976708_x000d__x000a_" sqref="Q32">
      <formula1>0</formula1>
      <formula2>300</formula2>
    </dataValidation>
    <dataValidation type="textLength" errorStyle="information" allowBlank="1" showInputMessage="1" showErrorMessage="1" error="XLBVal:6=82302.23_x000d__x000a_" sqref="E145:P151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2660698_x000d__x000a_" sqref="Q145:Q152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6=291748_x000d__x000a_" sqref="Q115">
      <formula1>0</formula1>
      <formula2>300</formula2>
    </dataValidation>
    <dataValidation type="textLength" errorStyle="information" allowBlank="1" showInputMessage="1" showErrorMessage="1" error="XLBVal:6=0_x000d__x000a_" sqref="E109:R109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error="XLBVal:6=3678_x000d__x000a_" sqref="E154:P154">
      <formula1>0</formula1>
      <formula2>300</formula2>
    </dataValidation>
    <dataValidation type="textLength" errorStyle="information" allowBlank="1" showInputMessage="1" showErrorMessage="1" error="XLBVal:6=48547_x000d__x000a_" sqref="Q116">
      <formula1>0</formula1>
      <formula2>300</formula2>
    </dataValidation>
    <dataValidation type="textLength" errorStyle="information" allowBlank="1" showInputMessage="1" showErrorMessage="1" sqref="F120:R125 H126:L126 H127:R127 F129:P129 E120:E130 E118:P118 F126:G128 H128:L128 F130:L130 E164:P164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5=0_x000d__x000a_" sqref="F29:F30">
      <formula1>0</formula1>
      <formula2>300</formula2>
    </dataValidation>
    <dataValidation type="textLength" errorStyle="information" allowBlank="1" showInputMessage="1" showErrorMessage="1" error="XLBVal:6=995082_x000d__x000a_" sqref="Q136:Q142 Q131:Q133">
      <formula1>0</formula1>
      <formula2>300</formula2>
    </dataValidation>
    <dataValidation type="textLength" errorStyle="information" allowBlank="1" showInputMessage="1" showErrorMessage="1" error="XLBVal:5=3384188.86_x000d__x000a_" sqref="G29:L30">
      <formula1>0</formula1>
      <formula2>300</formula2>
    </dataValidation>
    <dataValidation type="textLength" errorStyle="information" allowBlank="1" showInputMessage="1" showErrorMessage="1" error="XLBVal:6=6595485.04_x000d__x000a_" sqref="G37:L38">
      <formula1>0</formula1>
      <formula2>300</formula2>
    </dataValidation>
    <dataValidation type="textLength" allowBlank="1" showErrorMessage="1" sqref="Q39:Q107 E39:P42 E49:P10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8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65"/>
  <sheetViews>
    <sheetView topLeftCell="D1" zoomScale="60" zoomScaleNormal="60" zoomScaleSheetLayoutView="40" workbookViewId="0">
      <pane ySplit="9" topLeftCell="A98" activePane="bottomLeft" state="frozen"/>
      <selection activeCell="Q163" sqref="Q163"/>
      <selection pane="bottomLeft" activeCell="E165" sqref="E165:P165"/>
    </sheetView>
  </sheetViews>
  <sheetFormatPr defaultColWidth="8.90625" defaultRowHeight="26.25" customHeight="1" outlineLevelRow="1" outlineLevelCol="1"/>
  <cols>
    <col min="1" max="1" width="23.08984375" style="5" hidden="1" customWidth="1" outlineLevel="1"/>
    <col min="2" max="3" width="15.453125" style="5" hidden="1" customWidth="1" outlineLevel="1"/>
    <col min="4" max="4" width="73.90625" style="6" customWidth="1" collapsed="1"/>
    <col min="5" max="9" width="19.90625" style="7" customWidth="1"/>
    <col min="10" max="11" width="19.90625" style="139" customWidth="1"/>
    <col min="12" max="12" width="19.90625" style="5" customWidth="1"/>
    <col min="13" max="16" width="20.90625" style="139" customWidth="1"/>
    <col min="17" max="17" width="31.08984375" style="139" customWidth="1"/>
    <col min="18" max="18" width="19.08984375" style="139" customWidth="1"/>
    <col min="19" max="19" width="22.453125" style="140" hidden="1" customWidth="1"/>
    <col min="20" max="20" width="22.453125" style="139" hidden="1" customWidth="1"/>
    <col min="21" max="21" width="35.453125" style="139" customWidth="1"/>
    <col min="22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</row>
    <row r="4" spans="1:20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S4" s="147"/>
    </row>
    <row r="5" spans="1:20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S5" s="147"/>
    </row>
    <row r="6" spans="1:20" s="138" customFormat="1" ht="25.4" customHeight="1">
      <c r="D6" s="10" t="s">
        <v>462</v>
      </c>
      <c r="E6" s="143"/>
      <c r="F6" s="143"/>
      <c r="G6" s="143"/>
      <c r="H6" s="143"/>
      <c r="I6" s="143"/>
      <c r="L6" s="2"/>
      <c r="S6" s="147"/>
    </row>
    <row r="7" spans="1:20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S7" s="147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/>
      <c r="S9" s="109"/>
      <c r="T9" s="110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439</v>
      </c>
      <c r="B12" s="3" t="s">
        <v>370</v>
      </c>
      <c r="C12" s="3"/>
      <c r="D12" s="26" t="s">
        <v>440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441</v>
      </c>
      <c r="B13" s="3" t="s">
        <v>370</v>
      </c>
      <c r="C13" s="3"/>
      <c r="D13" s="26" t="s">
        <v>442</v>
      </c>
      <c r="E13" s="63">
        <v>223200</v>
      </c>
      <c r="F13" s="63">
        <v>223200</v>
      </c>
      <c r="G13" s="63">
        <v>223200</v>
      </c>
      <c r="H13" s="63">
        <v>223200</v>
      </c>
      <c r="I13" s="63">
        <v>223200</v>
      </c>
      <c r="J13" s="63">
        <v>223200</v>
      </c>
      <c r="K13" s="63">
        <v>223200</v>
      </c>
      <c r="L13" s="63">
        <v>223200</v>
      </c>
      <c r="M13" s="63">
        <v>232500</v>
      </c>
      <c r="N13" s="63">
        <v>232500</v>
      </c>
      <c r="O13" s="63">
        <v>232500</v>
      </c>
      <c r="P13" s="63">
        <v>232500</v>
      </c>
      <c r="Q13" s="134">
        <f>SUM(E13:P13)</f>
        <v>2715600</v>
      </c>
      <c r="R13" s="134"/>
      <c r="S13" s="148"/>
      <c r="T13" s="40" t="e">
        <f>IF(Q13-S13=0,0,(Q13-S13)/S13)</f>
        <v>#DIV/0!</v>
      </c>
    </row>
    <row r="14" spans="1:20" s="77" customFormat="1" ht="25.4" customHeight="1">
      <c r="A14" s="50" t="s">
        <v>443</v>
      </c>
      <c r="B14" s="3" t="s">
        <v>370</v>
      </c>
      <c r="C14" s="3"/>
      <c r="D14" s="26" t="s">
        <v>444</v>
      </c>
      <c r="E14" s="63">
        <v>455700</v>
      </c>
      <c r="F14" s="63">
        <v>455700</v>
      </c>
      <c r="G14" s="63">
        <v>455700</v>
      </c>
      <c r="H14" s="63">
        <v>455700</v>
      </c>
      <c r="I14" s="63">
        <v>455700</v>
      </c>
      <c r="J14" s="63">
        <v>455700</v>
      </c>
      <c r="K14" s="63">
        <v>455700</v>
      </c>
      <c r="L14" s="63">
        <v>455700</v>
      </c>
      <c r="M14" s="63">
        <v>455700</v>
      </c>
      <c r="N14" s="63">
        <v>465000</v>
      </c>
      <c r="O14" s="63">
        <v>465000</v>
      </c>
      <c r="P14" s="63">
        <v>465000</v>
      </c>
      <c r="Q14" s="134">
        <f t="shared" ref="Q14:Q16" si="0">SUM(E14:P14)</f>
        <v>5496300</v>
      </c>
      <c r="R14" s="134"/>
      <c r="S14" s="148"/>
      <c r="T14" s="40" t="e">
        <f t="shared" ref="T14:T28" si="1">IF(Q14-S14=0,0,(Q14-S14)/S14)</f>
        <v>#DIV/0!</v>
      </c>
    </row>
    <row r="15" spans="1:20" s="77" customFormat="1" ht="25.4" customHeight="1">
      <c r="A15" s="50" t="s">
        <v>445</v>
      </c>
      <c r="B15" s="3" t="s">
        <v>370</v>
      </c>
      <c r="C15" s="3"/>
      <c r="D15" s="26" t="s">
        <v>446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34">
        <f t="shared" si="0"/>
        <v>0</v>
      </c>
      <c r="R15" s="134"/>
      <c r="S15" s="148"/>
      <c r="T15" s="40">
        <f t="shared" si="1"/>
        <v>0</v>
      </c>
    </row>
    <row r="16" spans="1:20" s="77" customFormat="1" ht="25.4" customHeight="1">
      <c r="A16" s="50" t="s">
        <v>447</v>
      </c>
      <c r="B16" s="3" t="s">
        <v>370</v>
      </c>
      <c r="C16" s="3"/>
      <c r="D16" s="26" t="s">
        <v>448</v>
      </c>
      <c r="E16" s="63" t="s">
        <v>1161</v>
      </c>
      <c r="F16" s="63" t="s">
        <v>1161</v>
      </c>
      <c r="G16" s="63" t="s">
        <v>1161</v>
      </c>
      <c r="H16" s="63" t="s">
        <v>1161</v>
      </c>
      <c r="I16" s="63" t="s">
        <v>1161</v>
      </c>
      <c r="J16" s="63" t="s">
        <v>1161</v>
      </c>
      <c r="K16" s="63" t="s">
        <v>1161</v>
      </c>
      <c r="L16" s="63" t="s">
        <v>1161</v>
      </c>
      <c r="M16" s="63" t="s">
        <v>1161</v>
      </c>
      <c r="N16" s="63" t="s">
        <v>1161</v>
      </c>
      <c r="O16" s="63" t="s">
        <v>1161</v>
      </c>
      <c r="P16" s="63" t="s">
        <v>1161</v>
      </c>
      <c r="Q16" s="134">
        <f t="shared" si="0"/>
        <v>0</v>
      </c>
      <c r="R16" s="134"/>
      <c r="S16" s="148"/>
      <c r="T16" s="40">
        <f t="shared" si="1"/>
        <v>0</v>
      </c>
    </row>
    <row r="17" spans="1:21" s="77" customFormat="1" ht="25.4" customHeight="1">
      <c r="A17" s="3"/>
      <c r="B17" s="3"/>
      <c r="C17" s="3"/>
      <c r="D17" s="21" t="s">
        <v>397</v>
      </c>
      <c r="E17" s="45">
        <f>SUM(E12:E16)</f>
        <v>678900</v>
      </c>
      <c r="F17" s="45">
        <f t="shared" ref="F17:Q17" si="2">SUM(F12:F16)</f>
        <v>678900</v>
      </c>
      <c r="G17" s="45">
        <f t="shared" si="2"/>
        <v>678900</v>
      </c>
      <c r="H17" s="45">
        <f t="shared" si="2"/>
        <v>678900</v>
      </c>
      <c r="I17" s="45">
        <f t="shared" si="2"/>
        <v>678900</v>
      </c>
      <c r="J17" s="45">
        <f t="shared" si="2"/>
        <v>678900</v>
      </c>
      <c r="K17" s="45">
        <f t="shared" si="2"/>
        <v>678900</v>
      </c>
      <c r="L17" s="45">
        <f t="shared" si="2"/>
        <v>678900</v>
      </c>
      <c r="M17" s="45">
        <f t="shared" si="2"/>
        <v>688200</v>
      </c>
      <c r="N17" s="45">
        <f t="shared" si="2"/>
        <v>697500</v>
      </c>
      <c r="O17" s="45">
        <f t="shared" si="2"/>
        <v>697500</v>
      </c>
      <c r="P17" s="45">
        <f t="shared" si="2"/>
        <v>697500</v>
      </c>
      <c r="Q17" s="45">
        <f t="shared" si="2"/>
        <v>8211900</v>
      </c>
      <c r="R17" s="45"/>
      <c r="S17" s="148"/>
      <c r="T17" s="40" t="e">
        <f t="shared" si="1"/>
        <v>#DIV/0!</v>
      </c>
    </row>
    <row r="18" spans="1:21" s="77" customFormat="1" ht="25.4" customHeight="1">
      <c r="A18" s="3"/>
      <c r="B18" s="3"/>
      <c r="C18" s="3"/>
      <c r="D18" s="26"/>
      <c r="E18" s="106"/>
      <c r="F18" s="24"/>
      <c r="G18" s="106"/>
      <c r="H18" s="106"/>
      <c r="I18" s="106"/>
      <c r="J18" s="106"/>
      <c r="K18" s="106"/>
      <c r="L18" s="106"/>
      <c r="S18" s="148"/>
      <c r="T18" s="40"/>
    </row>
    <row r="19" spans="1:21" s="77" customFormat="1" ht="25.4" customHeight="1">
      <c r="A19" s="3"/>
      <c r="B19" s="3"/>
      <c r="C19" s="3"/>
      <c r="D19" s="21" t="s">
        <v>398</v>
      </c>
      <c r="E19" s="106"/>
      <c r="F19" s="63"/>
      <c r="G19" s="63"/>
      <c r="H19" s="63"/>
      <c r="I19" s="63"/>
      <c r="J19" s="63"/>
      <c r="K19" s="63"/>
      <c r="L19" s="63"/>
      <c r="S19" s="148"/>
      <c r="T19" s="40"/>
    </row>
    <row r="20" spans="1:21" s="77" customFormat="1" ht="25.4" customHeight="1">
      <c r="A20" s="50" t="s">
        <v>449</v>
      </c>
      <c r="B20" s="3" t="s">
        <v>370</v>
      </c>
      <c r="C20" s="3"/>
      <c r="D20" s="26" t="s">
        <v>440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134">
        <f>SUM(E20:P20)</f>
        <v>0</v>
      </c>
      <c r="R20" s="134"/>
      <c r="S20" s="148"/>
      <c r="T20" s="40">
        <f t="shared" si="1"/>
        <v>0</v>
      </c>
    </row>
    <row r="21" spans="1:21" s="77" customFormat="1" ht="25.4" customHeight="1">
      <c r="A21" s="50" t="s">
        <v>450</v>
      </c>
      <c r="B21" s="3" t="s">
        <v>370</v>
      </c>
      <c r="C21" s="3"/>
      <c r="D21" s="26" t="s">
        <v>442</v>
      </c>
      <c r="E21" s="63">
        <v>7440</v>
      </c>
      <c r="F21" s="63">
        <v>7440</v>
      </c>
      <c r="G21" s="63">
        <v>7440</v>
      </c>
      <c r="H21" s="63">
        <v>7440</v>
      </c>
      <c r="I21" s="63">
        <v>7440</v>
      </c>
      <c r="J21" s="63">
        <v>7440</v>
      </c>
      <c r="K21" s="63">
        <v>7440</v>
      </c>
      <c r="L21" s="63">
        <v>7440</v>
      </c>
      <c r="M21" s="63">
        <v>7440</v>
      </c>
      <c r="N21" s="63">
        <v>7440</v>
      </c>
      <c r="O21" s="63">
        <v>7440</v>
      </c>
      <c r="P21" s="63">
        <v>7440</v>
      </c>
      <c r="Q21" s="134">
        <f t="shared" ref="Q21:Q24" si="3">SUM(E21:P21)</f>
        <v>89280</v>
      </c>
      <c r="R21" s="134"/>
      <c r="S21" s="148"/>
      <c r="T21" s="40" t="e">
        <f t="shared" si="1"/>
        <v>#DIV/0!</v>
      </c>
    </row>
    <row r="22" spans="1:21" s="77" customFormat="1" ht="25.4" customHeight="1">
      <c r="A22" s="50" t="s">
        <v>451</v>
      </c>
      <c r="B22" s="3" t="s">
        <v>370</v>
      </c>
      <c r="C22" s="3"/>
      <c r="D22" s="26" t="s">
        <v>444</v>
      </c>
      <c r="E22" s="63">
        <v>13950</v>
      </c>
      <c r="F22" s="63">
        <v>13950</v>
      </c>
      <c r="G22" s="63">
        <v>13950</v>
      </c>
      <c r="H22" s="63">
        <v>13950</v>
      </c>
      <c r="I22" s="63">
        <v>13950</v>
      </c>
      <c r="J22" s="63">
        <v>13950</v>
      </c>
      <c r="K22" s="63">
        <v>13950</v>
      </c>
      <c r="L22" s="63">
        <v>13950</v>
      </c>
      <c r="M22" s="63">
        <v>13950</v>
      </c>
      <c r="N22" s="63">
        <v>13950</v>
      </c>
      <c r="O22" s="63">
        <v>13950</v>
      </c>
      <c r="P22" s="63">
        <v>13950</v>
      </c>
      <c r="Q22" s="134">
        <f t="shared" si="3"/>
        <v>167400</v>
      </c>
      <c r="R22" s="134"/>
      <c r="S22" s="148"/>
      <c r="T22" s="40" t="e">
        <f t="shared" si="1"/>
        <v>#DIV/0!</v>
      </c>
    </row>
    <row r="23" spans="1:21" s="77" customFormat="1" ht="25.4" customHeight="1">
      <c r="A23" s="50" t="s">
        <v>452</v>
      </c>
      <c r="B23" s="3" t="s">
        <v>370</v>
      </c>
      <c r="C23" s="3"/>
      <c r="D23" s="26" t="s">
        <v>446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>
        <v>0</v>
      </c>
      <c r="P23" s="63">
        <v>0</v>
      </c>
      <c r="Q23" s="134">
        <f t="shared" si="3"/>
        <v>0</v>
      </c>
      <c r="R23" s="134"/>
      <c r="S23" s="148"/>
      <c r="T23" s="40">
        <f t="shared" si="1"/>
        <v>0</v>
      </c>
    </row>
    <row r="24" spans="1:21" s="77" customFormat="1" ht="25.4" customHeight="1">
      <c r="A24" s="50" t="s">
        <v>453</v>
      </c>
      <c r="B24" s="3" t="s">
        <v>370</v>
      </c>
      <c r="C24" s="3"/>
      <c r="D24" s="26" t="s">
        <v>448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134">
        <f t="shared" si="3"/>
        <v>0</v>
      </c>
      <c r="R24" s="134"/>
      <c r="S24" s="148"/>
      <c r="T24" s="40">
        <f t="shared" si="1"/>
        <v>0</v>
      </c>
    </row>
    <row r="25" spans="1:21" s="77" customFormat="1" ht="25.4" customHeight="1">
      <c r="A25" s="3"/>
      <c r="B25" s="3"/>
      <c r="C25" s="3"/>
      <c r="D25" s="21" t="s">
        <v>401</v>
      </c>
      <c r="E25" s="45">
        <f>SUM(E20:E24)</f>
        <v>21390</v>
      </c>
      <c r="F25" s="45">
        <f t="shared" ref="F25:Q25" si="4">SUM(F20:F24)</f>
        <v>21390</v>
      </c>
      <c r="G25" s="45">
        <f t="shared" si="4"/>
        <v>21390</v>
      </c>
      <c r="H25" s="45">
        <f t="shared" si="4"/>
        <v>21390</v>
      </c>
      <c r="I25" s="45">
        <f t="shared" si="4"/>
        <v>21390</v>
      </c>
      <c r="J25" s="45">
        <f t="shared" si="4"/>
        <v>21390</v>
      </c>
      <c r="K25" s="45">
        <f t="shared" si="4"/>
        <v>21390</v>
      </c>
      <c r="L25" s="45">
        <f t="shared" si="4"/>
        <v>21390</v>
      </c>
      <c r="M25" s="45">
        <f t="shared" si="4"/>
        <v>21390</v>
      </c>
      <c r="N25" s="45">
        <f t="shared" si="4"/>
        <v>21390</v>
      </c>
      <c r="O25" s="45">
        <f t="shared" si="4"/>
        <v>21390</v>
      </c>
      <c r="P25" s="45">
        <f t="shared" si="4"/>
        <v>21390</v>
      </c>
      <c r="Q25" s="45">
        <f t="shared" si="4"/>
        <v>256680</v>
      </c>
      <c r="R25" s="45"/>
      <c r="S25" s="148"/>
      <c r="T25" s="40" t="e">
        <f t="shared" si="1"/>
        <v>#DIV/0!</v>
      </c>
    </row>
    <row r="26" spans="1:21" s="77" customFormat="1" ht="25.4" customHeight="1">
      <c r="A26" s="50" t="s">
        <v>407</v>
      </c>
      <c r="B26" s="3" t="s">
        <v>370</v>
      </c>
      <c r="C26" s="3"/>
      <c r="D26" s="26" t="s">
        <v>408</v>
      </c>
      <c r="E26" s="63"/>
      <c r="F26" s="63"/>
      <c r="G26" s="63"/>
      <c r="H26" s="63"/>
      <c r="I26" s="63">
        <v>80000</v>
      </c>
      <c r="J26" s="63"/>
      <c r="K26" s="63"/>
      <c r="L26" s="63"/>
      <c r="M26" s="63">
        <v>400000</v>
      </c>
      <c r="N26" s="63"/>
      <c r="O26" s="63"/>
      <c r="P26" s="63">
        <v>20000</v>
      </c>
      <c r="Q26" s="134">
        <f>SUM(E26:P26)</f>
        <v>500000</v>
      </c>
      <c r="R26" s="134"/>
      <c r="S26" s="148"/>
      <c r="T26" s="40" t="e">
        <f t="shared" si="1"/>
        <v>#DIV/0!</v>
      </c>
    </row>
    <row r="27" spans="1:21" s="77" customFormat="1" ht="25.4" customHeight="1">
      <c r="A27" s="50" t="s">
        <v>128</v>
      </c>
      <c r="B27" s="3" t="s">
        <v>370</v>
      </c>
      <c r="C27" s="3"/>
      <c r="D27" s="26" t="s">
        <v>409</v>
      </c>
      <c r="E27" s="63">
        <f t="shared" ref="E27:P27" si="5">(E17+E25)*0.1</f>
        <v>70029</v>
      </c>
      <c r="F27" s="63">
        <f t="shared" si="5"/>
        <v>70029</v>
      </c>
      <c r="G27" s="63">
        <f t="shared" si="5"/>
        <v>70029</v>
      </c>
      <c r="H27" s="63">
        <f t="shared" si="5"/>
        <v>70029</v>
      </c>
      <c r="I27" s="63">
        <f t="shared" si="5"/>
        <v>70029</v>
      </c>
      <c r="J27" s="63">
        <f t="shared" si="5"/>
        <v>70029</v>
      </c>
      <c r="K27" s="63">
        <f t="shared" si="5"/>
        <v>70029</v>
      </c>
      <c r="L27" s="63">
        <f t="shared" si="5"/>
        <v>70029</v>
      </c>
      <c r="M27" s="63">
        <f t="shared" si="5"/>
        <v>70959</v>
      </c>
      <c r="N27" s="63">
        <f t="shared" si="5"/>
        <v>71889</v>
      </c>
      <c r="O27" s="63">
        <f t="shared" si="5"/>
        <v>71889</v>
      </c>
      <c r="P27" s="63">
        <f t="shared" si="5"/>
        <v>71889</v>
      </c>
      <c r="Q27" s="134">
        <f>SUM(E27:P27)</f>
        <v>846858</v>
      </c>
      <c r="R27" s="134"/>
      <c r="S27" s="148"/>
      <c r="T27" s="40" t="e">
        <f t="shared" si="1"/>
        <v>#DIV/0!</v>
      </c>
    </row>
    <row r="28" spans="1:21" s="77" customFormat="1" ht="25.4" customHeight="1">
      <c r="A28" s="50"/>
      <c r="B28" s="3"/>
      <c r="C28" s="3"/>
      <c r="D28" s="21" t="s">
        <v>410</v>
      </c>
      <c r="E28" s="45">
        <f>E17+E25+E26+E27</f>
        <v>770319</v>
      </c>
      <c r="F28" s="45">
        <f t="shared" ref="F28:P28" si="6">F17+F25+F26+F27</f>
        <v>770319</v>
      </c>
      <c r="G28" s="45">
        <f t="shared" si="6"/>
        <v>770319</v>
      </c>
      <c r="H28" s="45">
        <f t="shared" si="6"/>
        <v>770319</v>
      </c>
      <c r="I28" s="45">
        <f t="shared" si="6"/>
        <v>850319</v>
      </c>
      <c r="J28" s="45">
        <f t="shared" si="6"/>
        <v>770319</v>
      </c>
      <c r="K28" s="45">
        <f t="shared" si="6"/>
        <v>770319</v>
      </c>
      <c r="L28" s="45">
        <f t="shared" si="6"/>
        <v>770319</v>
      </c>
      <c r="M28" s="45">
        <f t="shared" si="6"/>
        <v>1180549</v>
      </c>
      <c r="N28" s="45">
        <f t="shared" si="6"/>
        <v>790779</v>
      </c>
      <c r="O28" s="45">
        <f t="shared" si="6"/>
        <v>790779</v>
      </c>
      <c r="P28" s="45">
        <f t="shared" si="6"/>
        <v>810779</v>
      </c>
      <c r="Q28" s="45">
        <f t="shared" ref="Q28" si="7">Q17+Q25+Q26+Q27</f>
        <v>9815438</v>
      </c>
      <c r="R28" s="45"/>
      <c r="S28" s="148"/>
      <c r="T28" s="40" t="e">
        <f t="shared" si="1"/>
        <v>#DIV/0!</v>
      </c>
    </row>
    <row r="29" spans="1:21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63"/>
      <c r="K29" s="63"/>
      <c r="L29" s="63"/>
      <c r="S29" s="148"/>
      <c r="T29" s="40"/>
    </row>
    <row r="30" spans="1:21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63"/>
      <c r="K30" s="63"/>
      <c r="L30" s="63"/>
      <c r="S30" s="148"/>
      <c r="T30" s="40"/>
    </row>
    <row r="31" spans="1:21" s="77" customFormat="1" ht="25.4" customHeight="1">
      <c r="A31" s="50" t="s">
        <v>412</v>
      </c>
      <c r="B31" s="3" t="s">
        <v>370</v>
      </c>
      <c r="C31" s="3"/>
      <c r="D31" s="26" t="s">
        <v>413</v>
      </c>
      <c r="E31" s="63">
        <f>E17*36%</f>
        <v>244404</v>
      </c>
      <c r="F31" s="63">
        <f t="shared" ref="F31:P31" si="8">F17*36%</f>
        <v>244404</v>
      </c>
      <c r="G31" s="63">
        <f t="shared" si="8"/>
        <v>244404</v>
      </c>
      <c r="H31" s="63">
        <f t="shared" si="8"/>
        <v>244404</v>
      </c>
      <c r="I31" s="63">
        <f t="shared" si="8"/>
        <v>244404</v>
      </c>
      <c r="J31" s="63">
        <f t="shared" si="8"/>
        <v>244404</v>
      </c>
      <c r="K31" s="63">
        <f t="shared" si="8"/>
        <v>244404</v>
      </c>
      <c r="L31" s="63">
        <f t="shared" si="8"/>
        <v>244404</v>
      </c>
      <c r="M31" s="63">
        <f t="shared" si="8"/>
        <v>247752</v>
      </c>
      <c r="N31" s="63">
        <f t="shared" si="8"/>
        <v>251100</v>
      </c>
      <c r="O31" s="63">
        <f t="shared" si="8"/>
        <v>251100</v>
      </c>
      <c r="P31" s="63">
        <f t="shared" si="8"/>
        <v>251100</v>
      </c>
      <c r="Q31" s="134">
        <f>SUM(E31:P31)</f>
        <v>2956284</v>
      </c>
      <c r="R31" s="159">
        <f>Q31/Q17</f>
        <v>0.36</v>
      </c>
      <c r="S31" s="148"/>
      <c r="T31" s="40" t="e">
        <f>-IF(Q31-S31=0,0,(Q31-S31)/S31)</f>
        <v>#DIV/0!</v>
      </c>
      <c r="U31" s="319"/>
    </row>
    <row r="32" spans="1:21" s="77" customFormat="1" ht="25.4" customHeight="1">
      <c r="A32" s="3" t="s">
        <v>414</v>
      </c>
      <c r="B32" s="3" t="s">
        <v>370</v>
      </c>
      <c r="C32" s="3"/>
      <c r="D32" s="26" t="s">
        <v>415</v>
      </c>
      <c r="E32" s="63">
        <f>E25*45%</f>
        <v>9625.5</v>
      </c>
      <c r="F32" s="63">
        <f t="shared" ref="F32:P32" si="9">F25*45%</f>
        <v>9625.5</v>
      </c>
      <c r="G32" s="63">
        <f t="shared" si="9"/>
        <v>9625.5</v>
      </c>
      <c r="H32" s="63">
        <f t="shared" si="9"/>
        <v>9625.5</v>
      </c>
      <c r="I32" s="63">
        <f t="shared" si="9"/>
        <v>9625.5</v>
      </c>
      <c r="J32" s="63">
        <f t="shared" si="9"/>
        <v>9625.5</v>
      </c>
      <c r="K32" s="63">
        <f t="shared" si="9"/>
        <v>9625.5</v>
      </c>
      <c r="L32" s="63">
        <f t="shared" si="9"/>
        <v>9625.5</v>
      </c>
      <c r="M32" s="63">
        <f t="shared" si="9"/>
        <v>9625.5</v>
      </c>
      <c r="N32" s="63">
        <f t="shared" si="9"/>
        <v>9625.5</v>
      </c>
      <c r="O32" s="63">
        <f t="shared" si="9"/>
        <v>9625.5</v>
      </c>
      <c r="P32" s="63">
        <f t="shared" si="9"/>
        <v>9625.5</v>
      </c>
      <c r="Q32" s="134">
        <f>SUM(E32:P32)</f>
        <v>115506</v>
      </c>
      <c r="R32" s="159">
        <f>Q32/Q25</f>
        <v>0.45</v>
      </c>
      <c r="S32" s="148"/>
      <c r="T32" s="40" t="e">
        <f t="shared" ref="T32:T95" si="10">-IF(Q32-S32=0,0,(Q32-S32)/S32)</f>
        <v>#DIV/0!</v>
      </c>
      <c r="U32" s="319"/>
    </row>
    <row r="33" spans="1:20" s="77" customFormat="1" ht="25.4" customHeight="1">
      <c r="A33" s="3" t="s">
        <v>454</v>
      </c>
      <c r="B33" s="3" t="s">
        <v>370</v>
      </c>
      <c r="C33" s="3"/>
      <c r="D33" s="26" t="s">
        <v>419</v>
      </c>
      <c r="E33" s="63"/>
      <c r="F33" s="63"/>
      <c r="G33" s="63"/>
      <c r="H33" s="63"/>
      <c r="I33" s="63">
        <f>I26*40%</f>
        <v>32000</v>
      </c>
      <c r="J33" s="63"/>
      <c r="K33" s="63"/>
      <c r="L33" s="63"/>
      <c r="M33" s="27">
        <f>M26*40%</f>
        <v>160000</v>
      </c>
      <c r="N33" s="27"/>
      <c r="O33" s="27"/>
      <c r="P33" s="27">
        <f>P26*40%</f>
        <v>8000</v>
      </c>
      <c r="Q33" s="134">
        <f>SUM(E33:P33)</f>
        <v>200000</v>
      </c>
      <c r="R33" s="159">
        <f>Q33/Q26</f>
        <v>0.4</v>
      </c>
      <c r="S33" s="148"/>
      <c r="T33" s="40" t="e">
        <f t="shared" si="10"/>
        <v>#DIV/0!</v>
      </c>
    </row>
    <row r="34" spans="1:20" s="77" customFormat="1" ht="25.4" customHeight="1">
      <c r="A34" s="3"/>
      <c r="B34" s="3"/>
      <c r="C34" s="3"/>
      <c r="D34" s="21" t="s">
        <v>420</v>
      </c>
      <c r="E34" s="45">
        <f>+SUM(E31:E33)</f>
        <v>254029.5</v>
      </c>
      <c r="F34" s="45">
        <f t="shared" ref="F34:P34" si="11">+SUM(F31:F33)</f>
        <v>254029.5</v>
      </c>
      <c r="G34" s="45">
        <f t="shared" si="11"/>
        <v>254029.5</v>
      </c>
      <c r="H34" s="45">
        <f t="shared" si="11"/>
        <v>254029.5</v>
      </c>
      <c r="I34" s="45">
        <f t="shared" si="11"/>
        <v>286029.5</v>
      </c>
      <c r="J34" s="45">
        <f t="shared" si="11"/>
        <v>254029.5</v>
      </c>
      <c r="K34" s="45">
        <f t="shared" si="11"/>
        <v>254029.5</v>
      </c>
      <c r="L34" s="45">
        <f t="shared" si="11"/>
        <v>254029.5</v>
      </c>
      <c r="M34" s="45">
        <f t="shared" si="11"/>
        <v>417377.5</v>
      </c>
      <c r="N34" s="45">
        <f t="shared" si="11"/>
        <v>260725.5</v>
      </c>
      <c r="O34" s="45">
        <f t="shared" si="11"/>
        <v>260725.5</v>
      </c>
      <c r="P34" s="45">
        <f t="shared" si="11"/>
        <v>268725.5</v>
      </c>
      <c r="Q34" s="45">
        <f>SUM(Q31:Q33)</f>
        <v>3271790</v>
      </c>
      <c r="R34" s="149">
        <f>Q34/$Q$28</f>
        <v>0.33333102404599774</v>
      </c>
      <c r="S34" s="148"/>
      <c r="T34" s="40" t="e">
        <f t="shared" si="10"/>
        <v>#DIV/0!</v>
      </c>
    </row>
    <row r="35" spans="1:20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63"/>
      <c r="K35" s="63"/>
      <c r="L35" s="63"/>
      <c r="Q35" s="150"/>
      <c r="S35" s="148"/>
      <c r="T35" s="40"/>
    </row>
    <row r="36" spans="1:20" s="77" customFormat="1" ht="25.4" customHeight="1">
      <c r="A36" s="3" t="s">
        <v>106</v>
      </c>
      <c r="B36" s="3" t="s">
        <v>370</v>
      </c>
      <c r="C36" s="3"/>
      <c r="D36" s="21" t="s">
        <v>139</v>
      </c>
      <c r="E36" s="45">
        <f>+E163</f>
        <v>315903.73</v>
      </c>
      <c r="F36" s="45">
        <f t="shared" ref="F36:P36" si="12">+F163</f>
        <v>359868.01</v>
      </c>
      <c r="G36" s="45">
        <f t="shared" si="12"/>
        <v>257574.91999999998</v>
      </c>
      <c r="H36" s="45">
        <f t="shared" si="12"/>
        <v>298641.58999999997</v>
      </c>
      <c r="I36" s="45">
        <f t="shared" si="12"/>
        <v>299922.71000000002</v>
      </c>
      <c r="J36" s="45">
        <f t="shared" si="12"/>
        <v>300084.90999999997</v>
      </c>
      <c r="K36" s="45">
        <f t="shared" si="12"/>
        <v>320909.89999999997</v>
      </c>
      <c r="L36" s="45">
        <f t="shared" si="12"/>
        <v>343181.74000000005</v>
      </c>
      <c r="M36" s="45">
        <f t="shared" si="12"/>
        <v>408802.58999999997</v>
      </c>
      <c r="N36" s="45">
        <f t="shared" si="12"/>
        <v>307618.07999999996</v>
      </c>
      <c r="O36" s="45">
        <f t="shared" si="12"/>
        <v>275505.04000000004</v>
      </c>
      <c r="P36" s="45">
        <f t="shared" si="12"/>
        <v>291408.46999999997</v>
      </c>
      <c r="Q36" s="45">
        <f>SUM(E36:P36)</f>
        <v>3779421.6900000004</v>
      </c>
      <c r="R36" s="149">
        <f>Q36/$Q$28</f>
        <v>0.38504870490751408</v>
      </c>
      <c r="S36" s="148"/>
      <c r="T36" s="40" t="e">
        <f t="shared" si="10"/>
        <v>#DIV/0!</v>
      </c>
    </row>
    <row r="37" spans="1:20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63"/>
      <c r="K37" s="63"/>
      <c r="L37" s="63"/>
      <c r="S37" s="148"/>
      <c r="T37" s="40"/>
    </row>
    <row r="38" spans="1:20" s="77" customFormat="1" ht="25.4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63"/>
      <c r="K38" s="63"/>
      <c r="L38" s="63"/>
      <c r="R38" s="34" t="s">
        <v>421</v>
      </c>
      <c r="S38" s="148"/>
      <c r="T38" s="40">
        <f t="shared" si="10"/>
        <v>0</v>
      </c>
    </row>
    <row r="39" spans="1:20" s="77" customFormat="1" ht="25.4" customHeight="1">
      <c r="A39" s="3" t="s">
        <v>142</v>
      </c>
      <c r="B39" s="3" t="s">
        <v>370</v>
      </c>
      <c r="C39" s="3"/>
      <c r="D39" s="26" t="s">
        <v>143</v>
      </c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134">
        <f>SUM(E39:P39)</f>
        <v>0</v>
      </c>
      <c r="R39" s="134">
        <f>Q39/$Q$117</f>
        <v>0</v>
      </c>
      <c r="S39" s="148"/>
      <c r="T39" s="40">
        <f t="shared" si="10"/>
        <v>0</v>
      </c>
    </row>
    <row r="40" spans="1:20" s="77" customFormat="1" ht="25.4" customHeight="1">
      <c r="A40" s="3" t="s">
        <v>144</v>
      </c>
      <c r="B40" s="3" t="s">
        <v>370</v>
      </c>
      <c r="C40" s="3"/>
      <c r="D40" s="26" t="s">
        <v>145</v>
      </c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134">
        <f t="shared" ref="Q40:Q103" si="13">SUM(E40:P40)</f>
        <v>0</v>
      </c>
      <c r="R40" s="134">
        <f t="shared" ref="R40:R103" si="14">Q40/$Q$117</f>
        <v>0</v>
      </c>
      <c r="S40" s="148"/>
      <c r="T40" s="40">
        <f t="shared" si="10"/>
        <v>0</v>
      </c>
    </row>
    <row r="41" spans="1:20" s="77" customFormat="1" ht="25.4" customHeight="1">
      <c r="A41" s="3" t="s">
        <v>146</v>
      </c>
      <c r="B41" s="3" t="s">
        <v>370</v>
      </c>
      <c r="C41" s="3"/>
      <c r="D41" s="26" t="s">
        <v>147</v>
      </c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134">
        <f t="shared" si="13"/>
        <v>0</v>
      </c>
      <c r="R41" s="134">
        <f t="shared" si="14"/>
        <v>0</v>
      </c>
      <c r="S41" s="148"/>
      <c r="T41" s="40">
        <f t="shared" si="10"/>
        <v>0</v>
      </c>
    </row>
    <row r="42" spans="1:20" s="77" customFormat="1" ht="25.4" customHeight="1">
      <c r="A42" s="3" t="s">
        <v>148</v>
      </c>
      <c r="B42" s="3" t="s">
        <v>370</v>
      </c>
      <c r="C42" s="3"/>
      <c r="D42" s="26" t="s">
        <v>149</v>
      </c>
      <c r="E42" s="388">
        <f>ROUND(E117*1,2)</f>
        <v>1860</v>
      </c>
      <c r="F42" s="388">
        <f>ROUND(F117*1.2,2)</f>
        <v>2232</v>
      </c>
      <c r="G42" s="388">
        <f>ROUND(G117*1,2)</f>
        <v>1860</v>
      </c>
      <c r="H42" s="388">
        <f>ROUND(H117*1,2)</f>
        <v>1860</v>
      </c>
      <c r="I42" s="388">
        <f>ROUND(I117*1,2)</f>
        <v>1860</v>
      </c>
      <c r="J42" s="388">
        <f>ROUND(J117*1,2)</f>
        <v>1860</v>
      </c>
      <c r="K42" s="388">
        <f>ROUND(K117*1,2)</f>
        <v>1860</v>
      </c>
      <c r="L42" s="388">
        <f>ROUND(L117*1.2,2)</f>
        <v>2232</v>
      </c>
      <c r="M42" s="388">
        <f>ROUND(M117*1,2)</f>
        <v>1860</v>
      </c>
      <c r="N42" s="388">
        <f>ROUND(N117*1,2)</f>
        <v>1860</v>
      </c>
      <c r="O42" s="388">
        <f>ROUND(O117*1.2,2)</f>
        <v>2232</v>
      </c>
      <c r="P42" s="388">
        <f>ROUND(P117*1.2,2)</f>
        <v>2232</v>
      </c>
      <c r="Q42" s="61">
        <f t="shared" si="13"/>
        <v>23808</v>
      </c>
      <c r="R42" s="61">
        <f t="shared" si="14"/>
        <v>1.0666666666666667</v>
      </c>
      <c r="S42" s="148"/>
      <c r="T42" s="40" t="e">
        <f t="shared" si="10"/>
        <v>#DIV/0!</v>
      </c>
    </row>
    <row r="43" spans="1:20" s="77" customFormat="1" ht="25.4" customHeight="1">
      <c r="A43" s="3" t="s">
        <v>150</v>
      </c>
      <c r="B43" s="3" t="s">
        <v>370</v>
      </c>
      <c r="C43" s="3"/>
      <c r="D43" s="26" t="s">
        <v>151</v>
      </c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61">
        <f t="shared" si="13"/>
        <v>0</v>
      </c>
      <c r="R43" s="61">
        <f t="shared" si="14"/>
        <v>0</v>
      </c>
      <c r="S43" s="148"/>
      <c r="T43" s="40">
        <f t="shared" si="10"/>
        <v>0</v>
      </c>
    </row>
    <row r="44" spans="1:20" s="77" customFormat="1" ht="25.4" customHeight="1">
      <c r="A44" s="3" t="s">
        <v>152</v>
      </c>
      <c r="B44" s="3" t="s">
        <v>370</v>
      </c>
      <c r="C44" s="3"/>
      <c r="D44" s="26" t="s">
        <v>153</v>
      </c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61">
        <f t="shared" si="13"/>
        <v>0</v>
      </c>
      <c r="R44" s="61">
        <f t="shared" si="14"/>
        <v>0</v>
      </c>
      <c r="S44" s="148"/>
      <c r="T44" s="40">
        <f t="shared" si="10"/>
        <v>0</v>
      </c>
    </row>
    <row r="45" spans="1:20" s="77" customFormat="1" ht="25.4" customHeight="1">
      <c r="A45" s="3" t="s">
        <v>154</v>
      </c>
      <c r="B45" s="3" t="s">
        <v>370</v>
      </c>
      <c r="C45" s="3"/>
      <c r="D45" s="26" t="s">
        <v>155</v>
      </c>
      <c r="E45" s="388">
        <v>1000</v>
      </c>
      <c r="F45" s="388">
        <v>1000</v>
      </c>
      <c r="G45" s="388">
        <v>1000</v>
      </c>
      <c r="H45" s="388">
        <v>1000</v>
      </c>
      <c r="I45" s="388">
        <v>1000</v>
      </c>
      <c r="J45" s="388">
        <v>1000</v>
      </c>
      <c r="K45" s="388">
        <v>1000</v>
      </c>
      <c r="L45" s="388">
        <v>1000</v>
      </c>
      <c r="M45" s="388">
        <v>1000</v>
      </c>
      <c r="N45" s="388">
        <v>1000</v>
      </c>
      <c r="O45" s="388">
        <v>1000</v>
      </c>
      <c r="P45" s="388">
        <v>1000</v>
      </c>
      <c r="Q45" s="61">
        <f t="shared" si="13"/>
        <v>12000</v>
      </c>
      <c r="R45" s="61">
        <f t="shared" si="14"/>
        <v>0.5376344086021505</v>
      </c>
      <c r="S45" s="148"/>
      <c r="T45" s="40" t="e">
        <f t="shared" si="10"/>
        <v>#DIV/0!</v>
      </c>
    </row>
    <row r="46" spans="1:20" s="77" customFormat="1" ht="25.4" customHeight="1">
      <c r="A46" s="3" t="s">
        <v>156</v>
      </c>
      <c r="B46" s="3" t="s">
        <v>370</v>
      </c>
      <c r="C46" s="3"/>
      <c r="D46" s="26" t="s">
        <v>157</v>
      </c>
      <c r="E46" s="388">
        <f t="shared" ref="E46:P46" si="15">ROUND(E117*2.5,2)</f>
        <v>4650</v>
      </c>
      <c r="F46" s="388">
        <f t="shared" si="15"/>
        <v>4650</v>
      </c>
      <c r="G46" s="388">
        <f t="shared" si="15"/>
        <v>4650</v>
      </c>
      <c r="H46" s="388">
        <f t="shared" si="15"/>
        <v>4650</v>
      </c>
      <c r="I46" s="388">
        <f t="shared" si="15"/>
        <v>4650</v>
      </c>
      <c r="J46" s="388">
        <f t="shared" si="15"/>
        <v>4650</v>
      </c>
      <c r="K46" s="388">
        <f t="shared" si="15"/>
        <v>4650</v>
      </c>
      <c r="L46" s="388">
        <f t="shared" si="15"/>
        <v>4650</v>
      </c>
      <c r="M46" s="388">
        <f t="shared" si="15"/>
        <v>4650</v>
      </c>
      <c r="N46" s="388">
        <f t="shared" si="15"/>
        <v>4650</v>
      </c>
      <c r="O46" s="388">
        <f t="shared" si="15"/>
        <v>4650</v>
      </c>
      <c r="P46" s="388">
        <f t="shared" si="15"/>
        <v>4650</v>
      </c>
      <c r="Q46" s="61">
        <f t="shared" si="13"/>
        <v>55800</v>
      </c>
      <c r="R46" s="61">
        <f t="shared" si="14"/>
        <v>2.5</v>
      </c>
      <c r="S46" s="148"/>
      <c r="T46" s="40" t="e">
        <f t="shared" si="10"/>
        <v>#DIV/0!</v>
      </c>
    </row>
    <row r="47" spans="1:20" s="77" customFormat="1" ht="25.4" customHeight="1">
      <c r="A47" s="3" t="s">
        <v>158</v>
      </c>
      <c r="B47" s="3" t="s">
        <v>370</v>
      </c>
      <c r="C47" s="3"/>
      <c r="D47" s="26" t="s">
        <v>159</v>
      </c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  <c r="Q47" s="61">
        <f t="shared" si="13"/>
        <v>0</v>
      </c>
      <c r="R47" s="61">
        <f t="shared" si="14"/>
        <v>0</v>
      </c>
      <c r="S47" s="148"/>
      <c r="T47" s="40">
        <f t="shared" si="10"/>
        <v>0</v>
      </c>
    </row>
    <row r="48" spans="1:20" s="77" customFormat="1" ht="24.75" customHeight="1">
      <c r="A48" s="3" t="s">
        <v>160</v>
      </c>
      <c r="B48" s="3" t="s">
        <v>370</v>
      </c>
      <c r="C48" s="3"/>
      <c r="D48" s="26" t="s">
        <v>161</v>
      </c>
      <c r="E48" s="388">
        <v>3000</v>
      </c>
      <c r="F48" s="388"/>
      <c r="G48" s="388"/>
      <c r="H48" s="388"/>
      <c r="I48" s="388"/>
      <c r="J48" s="388">
        <v>3000</v>
      </c>
      <c r="K48" s="388"/>
      <c r="L48" s="388"/>
      <c r="M48" s="388">
        <v>3000</v>
      </c>
      <c r="N48" s="388"/>
      <c r="O48" s="388"/>
      <c r="P48" s="388">
        <v>3000</v>
      </c>
      <c r="Q48" s="61">
        <f t="shared" si="13"/>
        <v>12000</v>
      </c>
      <c r="R48" s="61">
        <f t="shared" si="14"/>
        <v>0.5376344086021505</v>
      </c>
      <c r="S48" s="148"/>
      <c r="T48" s="40" t="e">
        <f t="shared" si="10"/>
        <v>#DIV/0!</v>
      </c>
    </row>
    <row r="49" spans="1:20" s="77" customFormat="1" ht="25.4" customHeight="1">
      <c r="A49" s="3" t="s">
        <v>162</v>
      </c>
      <c r="B49" s="3" t="s">
        <v>370</v>
      </c>
      <c r="C49" s="3"/>
      <c r="D49" s="26" t="s">
        <v>163</v>
      </c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61">
        <f t="shared" si="13"/>
        <v>0</v>
      </c>
      <c r="R49" s="61">
        <f t="shared" si="14"/>
        <v>0</v>
      </c>
      <c r="S49" s="148"/>
      <c r="T49" s="40">
        <f t="shared" si="10"/>
        <v>0</v>
      </c>
    </row>
    <row r="50" spans="1:20" s="77" customFormat="1" ht="25.4" customHeight="1">
      <c r="A50" s="3" t="s">
        <v>164</v>
      </c>
      <c r="B50" s="3" t="s">
        <v>370</v>
      </c>
      <c r="C50" s="3"/>
      <c r="D50" s="26" t="s">
        <v>165</v>
      </c>
      <c r="E50" s="388">
        <f t="shared" ref="E50:P50" si="16">ROUND(E117*2,2)</f>
        <v>3720</v>
      </c>
      <c r="F50" s="388">
        <f t="shared" si="16"/>
        <v>3720</v>
      </c>
      <c r="G50" s="388">
        <f t="shared" si="16"/>
        <v>3720</v>
      </c>
      <c r="H50" s="388">
        <f t="shared" si="16"/>
        <v>3720</v>
      </c>
      <c r="I50" s="388">
        <f t="shared" si="16"/>
        <v>3720</v>
      </c>
      <c r="J50" s="388">
        <f t="shared" si="16"/>
        <v>3720</v>
      </c>
      <c r="K50" s="388">
        <f t="shared" si="16"/>
        <v>3720</v>
      </c>
      <c r="L50" s="388">
        <f t="shared" si="16"/>
        <v>3720</v>
      </c>
      <c r="M50" s="388">
        <f t="shared" si="16"/>
        <v>3720</v>
      </c>
      <c r="N50" s="388">
        <f t="shared" si="16"/>
        <v>3720</v>
      </c>
      <c r="O50" s="388">
        <f t="shared" si="16"/>
        <v>3720</v>
      </c>
      <c r="P50" s="388">
        <f t="shared" si="16"/>
        <v>3720</v>
      </c>
      <c r="Q50" s="61">
        <f t="shared" si="13"/>
        <v>44640</v>
      </c>
      <c r="R50" s="61">
        <f t="shared" si="14"/>
        <v>2</v>
      </c>
      <c r="S50" s="148"/>
      <c r="T50" s="40" t="e">
        <f t="shared" si="10"/>
        <v>#DIV/0!</v>
      </c>
    </row>
    <row r="51" spans="1:20" s="77" customFormat="1" ht="25.4" customHeight="1">
      <c r="A51" s="3" t="s">
        <v>166</v>
      </c>
      <c r="B51" s="3" t="s">
        <v>370</v>
      </c>
      <c r="C51" s="3"/>
      <c r="D51" s="26" t="s">
        <v>167</v>
      </c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61">
        <f t="shared" si="13"/>
        <v>0</v>
      </c>
      <c r="R51" s="61">
        <f t="shared" si="14"/>
        <v>0</v>
      </c>
      <c r="S51" s="148"/>
      <c r="T51" s="40">
        <f t="shared" si="10"/>
        <v>0</v>
      </c>
    </row>
    <row r="52" spans="1:20" s="77" customFormat="1" ht="25.4" customHeight="1">
      <c r="A52" s="3" t="s">
        <v>168</v>
      </c>
      <c r="B52" s="3" t="s">
        <v>370</v>
      </c>
      <c r="C52" s="3"/>
      <c r="D52" s="26" t="s">
        <v>169</v>
      </c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61">
        <f t="shared" si="13"/>
        <v>0</v>
      </c>
      <c r="R52" s="61">
        <f t="shared" si="14"/>
        <v>0</v>
      </c>
      <c r="S52" s="148"/>
      <c r="T52" s="40">
        <f t="shared" si="10"/>
        <v>0</v>
      </c>
    </row>
    <row r="53" spans="1:20" s="77" customFormat="1" ht="25.4" customHeight="1">
      <c r="A53" s="3" t="s">
        <v>170</v>
      </c>
      <c r="B53" s="3" t="s">
        <v>370</v>
      </c>
      <c r="C53" s="3"/>
      <c r="D53" s="26" t="s">
        <v>171</v>
      </c>
      <c r="E53" s="388">
        <v>100</v>
      </c>
      <c r="F53" s="388">
        <v>100</v>
      </c>
      <c r="G53" s="388">
        <v>100</v>
      </c>
      <c r="H53" s="388">
        <v>100</v>
      </c>
      <c r="I53" s="388">
        <v>100</v>
      </c>
      <c r="J53" s="388">
        <v>100</v>
      </c>
      <c r="K53" s="388">
        <v>100</v>
      </c>
      <c r="L53" s="388">
        <v>100</v>
      </c>
      <c r="M53" s="388">
        <v>100</v>
      </c>
      <c r="N53" s="388">
        <v>100</v>
      </c>
      <c r="O53" s="388">
        <v>100</v>
      </c>
      <c r="P53" s="388">
        <v>100</v>
      </c>
      <c r="Q53" s="61">
        <f t="shared" si="13"/>
        <v>1200</v>
      </c>
      <c r="R53" s="61">
        <f t="shared" si="14"/>
        <v>5.3763440860215055E-2</v>
      </c>
      <c r="S53" s="148"/>
      <c r="T53" s="40" t="e">
        <f t="shared" si="10"/>
        <v>#DIV/0!</v>
      </c>
    </row>
    <row r="54" spans="1:20" s="77" customFormat="1" ht="25.4" customHeight="1">
      <c r="A54" s="3" t="s">
        <v>172</v>
      </c>
      <c r="B54" s="3" t="s">
        <v>370</v>
      </c>
      <c r="C54" s="3"/>
      <c r="D54" s="26" t="s">
        <v>173</v>
      </c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61">
        <f t="shared" si="13"/>
        <v>0</v>
      </c>
      <c r="R54" s="61">
        <f t="shared" si="14"/>
        <v>0</v>
      </c>
      <c r="S54" s="148"/>
      <c r="T54" s="40">
        <f t="shared" si="10"/>
        <v>0</v>
      </c>
    </row>
    <row r="55" spans="1:20" s="77" customFormat="1" ht="25.4" customHeight="1">
      <c r="A55" s="3" t="s">
        <v>174</v>
      </c>
      <c r="B55" s="3" t="s">
        <v>370</v>
      </c>
      <c r="C55" s="3"/>
      <c r="D55" s="26" t="s">
        <v>175</v>
      </c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  <c r="Q55" s="61">
        <f t="shared" si="13"/>
        <v>0</v>
      </c>
      <c r="R55" s="61">
        <f t="shared" si="14"/>
        <v>0</v>
      </c>
      <c r="S55" s="148"/>
      <c r="T55" s="40">
        <f t="shared" si="10"/>
        <v>0</v>
      </c>
    </row>
    <row r="56" spans="1:20" s="77" customFormat="1" ht="25.4" customHeight="1">
      <c r="A56" s="3" t="s">
        <v>176</v>
      </c>
      <c r="B56" s="3" t="s">
        <v>370</v>
      </c>
      <c r="C56" s="3"/>
      <c r="D56" s="26" t="s">
        <v>177</v>
      </c>
      <c r="E56" s="388">
        <f t="shared" ref="E56:P56" si="17">ROUND(E117*1,2)</f>
        <v>1860</v>
      </c>
      <c r="F56" s="388">
        <f t="shared" si="17"/>
        <v>1860</v>
      </c>
      <c r="G56" s="388">
        <f t="shared" si="17"/>
        <v>1860</v>
      </c>
      <c r="H56" s="388">
        <f t="shared" si="17"/>
        <v>1860</v>
      </c>
      <c r="I56" s="388">
        <f t="shared" si="17"/>
        <v>1860</v>
      </c>
      <c r="J56" s="388">
        <f t="shared" si="17"/>
        <v>1860</v>
      </c>
      <c r="K56" s="388">
        <f t="shared" si="17"/>
        <v>1860</v>
      </c>
      <c r="L56" s="388">
        <f t="shared" si="17"/>
        <v>1860</v>
      </c>
      <c r="M56" s="388">
        <f t="shared" si="17"/>
        <v>1860</v>
      </c>
      <c r="N56" s="388">
        <f t="shared" si="17"/>
        <v>1860</v>
      </c>
      <c r="O56" s="388">
        <f t="shared" si="17"/>
        <v>1860</v>
      </c>
      <c r="P56" s="388">
        <f t="shared" si="17"/>
        <v>1860</v>
      </c>
      <c r="Q56" s="61">
        <f t="shared" si="13"/>
        <v>22320</v>
      </c>
      <c r="R56" s="61">
        <f t="shared" si="14"/>
        <v>1</v>
      </c>
      <c r="S56" s="148"/>
      <c r="T56" s="40" t="e">
        <f t="shared" si="10"/>
        <v>#DIV/0!</v>
      </c>
    </row>
    <row r="57" spans="1:20" s="77" customFormat="1" ht="25.4" customHeight="1">
      <c r="A57" s="3" t="s">
        <v>178</v>
      </c>
      <c r="B57" s="3" t="s">
        <v>370</v>
      </c>
      <c r="C57" s="3"/>
      <c r="D57" s="26" t="s">
        <v>179</v>
      </c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  <c r="Q57" s="61">
        <f t="shared" si="13"/>
        <v>0</v>
      </c>
      <c r="R57" s="61">
        <f t="shared" si="14"/>
        <v>0</v>
      </c>
      <c r="S57" s="148"/>
      <c r="T57" s="40">
        <f t="shared" si="10"/>
        <v>0</v>
      </c>
    </row>
    <row r="58" spans="1:20" s="77" customFormat="1" ht="25.4" customHeight="1">
      <c r="A58" s="3" t="s">
        <v>180</v>
      </c>
      <c r="B58" s="3" t="s">
        <v>370</v>
      </c>
      <c r="C58" s="3"/>
      <c r="D58" s="26" t="s">
        <v>181</v>
      </c>
      <c r="E58" s="388"/>
      <c r="F58" s="388"/>
      <c r="G58" s="388"/>
      <c r="H58" s="388"/>
      <c r="I58" s="388"/>
      <c r="J58" s="388"/>
      <c r="K58" s="388">
        <f t="shared" ref="K58:P58" si="18">ROUND(K117*1.8,2)</f>
        <v>3348</v>
      </c>
      <c r="L58" s="388">
        <f t="shared" si="18"/>
        <v>3348</v>
      </c>
      <c r="M58" s="388">
        <f t="shared" si="18"/>
        <v>3348</v>
      </c>
      <c r="N58" s="388">
        <f t="shared" si="18"/>
        <v>3348</v>
      </c>
      <c r="O58" s="388">
        <f t="shared" si="18"/>
        <v>3348</v>
      </c>
      <c r="P58" s="388">
        <f t="shared" si="18"/>
        <v>3348</v>
      </c>
      <c r="Q58" s="61">
        <f t="shared" si="13"/>
        <v>20088</v>
      </c>
      <c r="R58" s="61">
        <f t="shared" si="14"/>
        <v>0.9</v>
      </c>
      <c r="S58" s="148"/>
      <c r="T58" s="40" t="e">
        <f t="shared" si="10"/>
        <v>#DIV/0!</v>
      </c>
    </row>
    <row r="59" spans="1:20" s="77" customFormat="1" ht="25.4" customHeight="1">
      <c r="A59" s="3" t="s">
        <v>182</v>
      </c>
      <c r="B59" s="3" t="s">
        <v>370</v>
      </c>
      <c r="C59" s="3"/>
      <c r="D59" s="26" t="s">
        <v>183</v>
      </c>
      <c r="E59" s="388">
        <f t="shared" ref="E59:P59" si="19">ROUND(E117*1.3,2)</f>
        <v>2418</v>
      </c>
      <c r="F59" s="388">
        <f t="shared" si="19"/>
        <v>2418</v>
      </c>
      <c r="G59" s="388">
        <f t="shared" si="19"/>
        <v>2418</v>
      </c>
      <c r="H59" s="388">
        <f t="shared" si="19"/>
        <v>2418</v>
      </c>
      <c r="I59" s="388">
        <f t="shared" si="19"/>
        <v>2418</v>
      </c>
      <c r="J59" s="388">
        <f t="shared" si="19"/>
        <v>2418</v>
      </c>
      <c r="K59" s="388">
        <f t="shared" si="19"/>
        <v>2418</v>
      </c>
      <c r="L59" s="388">
        <f t="shared" si="19"/>
        <v>2418</v>
      </c>
      <c r="M59" s="388">
        <f t="shared" si="19"/>
        <v>2418</v>
      </c>
      <c r="N59" s="388">
        <f t="shared" si="19"/>
        <v>2418</v>
      </c>
      <c r="O59" s="388">
        <f t="shared" si="19"/>
        <v>2418</v>
      </c>
      <c r="P59" s="388">
        <f t="shared" si="19"/>
        <v>2418</v>
      </c>
      <c r="Q59" s="61">
        <f t="shared" si="13"/>
        <v>29016</v>
      </c>
      <c r="R59" s="61">
        <f t="shared" si="14"/>
        <v>1.3</v>
      </c>
      <c r="S59" s="148"/>
      <c r="T59" s="40"/>
    </row>
    <row r="60" spans="1:20" s="77" customFormat="1" ht="25.4" customHeight="1">
      <c r="A60" s="3" t="s">
        <v>184</v>
      </c>
      <c r="B60" s="3" t="s">
        <v>370</v>
      </c>
      <c r="C60" s="3"/>
      <c r="D60" s="26" t="s">
        <v>185</v>
      </c>
      <c r="E60" s="388"/>
      <c r="F60" s="388"/>
      <c r="G60" s="388"/>
      <c r="H60" s="388"/>
      <c r="I60" s="388"/>
      <c r="J60" s="388">
        <v>500</v>
      </c>
      <c r="K60" s="388">
        <v>500</v>
      </c>
      <c r="L60" s="388">
        <v>500</v>
      </c>
      <c r="M60" s="388">
        <v>500</v>
      </c>
      <c r="N60" s="388">
        <v>500</v>
      </c>
      <c r="O60" s="388">
        <v>500</v>
      </c>
      <c r="P60" s="388">
        <v>500</v>
      </c>
      <c r="Q60" s="61">
        <f t="shared" si="13"/>
        <v>3500</v>
      </c>
      <c r="R60" s="61">
        <f t="shared" si="14"/>
        <v>0.15681003584229392</v>
      </c>
      <c r="S60" s="148"/>
      <c r="T60" s="40"/>
    </row>
    <row r="61" spans="1:20" s="77" customFormat="1" ht="25.4" customHeight="1">
      <c r="A61" s="3" t="s">
        <v>186</v>
      </c>
      <c r="B61" s="3" t="s">
        <v>370</v>
      </c>
      <c r="C61" s="3"/>
      <c r="D61" s="26" t="s">
        <v>187</v>
      </c>
      <c r="E61" s="388"/>
      <c r="F61" s="388"/>
      <c r="G61" s="388"/>
      <c r="H61" s="388"/>
      <c r="I61" s="388"/>
      <c r="J61" s="388">
        <v>1000</v>
      </c>
      <c r="K61" s="388">
        <v>1000</v>
      </c>
      <c r="L61" s="388">
        <v>1000</v>
      </c>
      <c r="M61" s="388">
        <v>1000</v>
      </c>
      <c r="N61" s="388">
        <v>1000</v>
      </c>
      <c r="O61" s="388">
        <v>1000</v>
      </c>
      <c r="P61" s="388">
        <v>1000</v>
      </c>
      <c r="Q61" s="61">
        <f t="shared" si="13"/>
        <v>7000</v>
      </c>
      <c r="R61" s="61">
        <f t="shared" si="14"/>
        <v>0.31362007168458783</v>
      </c>
      <c r="S61" s="148"/>
      <c r="T61" s="40"/>
    </row>
    <row r="62" spans="1:20" s="77" customFormat="1" ht="25.4" customHeight="1">
      <c r="A62" s="3" t="s">
        <v>188</v>
      </c>
      <c r="B62" s="3" t="s">
        <v>370</v>
      </c>
      <c r="C62" s="3"/>
      <c r="D62" s="26" t="s">
        <v>189</v>
      </c>
      <c r="E62" s="388"/>
      <c r="F62" s="388"/>
      <c r="G62" s="388"/>
      <c r="H62" s="388"/>
      <c r="I62" s="388"/>
      <c r="J62" s="388"/>
      <c r="K62" s="388"/>
      <c r="L62" s="388"/>
      <c r="M62" s="388">
        <v>500</v>
      </c>
      <c r="N62" s="388">
        <v>500</v>
      </c>
      <c r="O62" s="388">
        <v>500</v>
      </c>
      <c r="P62" s="388">
        <v>500</v>
      </c>
      <c r="Q62" s="61">
        <f t="shared" si="13"/>
        <v>2000</v>
      </c>
      <c r="R62" s="61">
        <f t="shared" si="14"/>
        <v>8.9605734767025089E-2</v>
      </c>
      <c r="S62" s="148"/>
      <c r="T62" s="40" t="e">
        <f t="shared" si="10"/>
        <v>#DIV/0!</v>
      </c>
    </row>
    <row r="63" spans="1:20" s="77" customFormat="1" ht="25.4" customHeight="1">
      <c r="A63" s="3" t="s">
        <v>190</v>
      </c>
      <c r="B63" s="3" t="s">
        <v>370</v>
      </c>
      <c r="C63" s="3"/>
      <c r="D63" s="26" t="s">
        <v>191</v>
      </c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/>
      <c r="Q63" s="61">
        <f t="shared" si="13"/>
        <v>0</v>
      </c>
      <c r="R63" s="61">
        <f t="shared" si="14"/>
        <v>0</v>
      </c>
      <c r="S63" s="148"/>
      <c r="T63" s="40">
        <f t="shared" si="10"/>
        <v>0</v>
      </c>
    </row>
    <row r="64" spans="1:20" s="77" customFormat="1" ht="25.4" customHeight="1">
      <c r="A64" s="3" t="s">
        <v>192</v>
      </c>
      <c r="B64" s="3" t="s">
        <v>370</v>
      </c>
      <c r="C64" s="3"/>
      <c r="D64" s="26" t="s">
        <v>193</v>
      </c>
      <c r="E64" s="388">
        <f t="shared" ref="E64:P64" si="20">ROUND(E117*1.5,2)</f>
        <v>2790</v>
      </c>
      <c r="F64" s="388">
        <f t="shared" si="20"/>
        <v>2790</v>
      </c>
      <c r="G64" s="388">
        <f t="shared" si="20"/>
        <v>2790</v>
      </c>
      <c r="H64" s="388">
        <f t="shared" si="20"/>
        <v>2790</v>
      </c>
      <c r="I64" s="388">
        <f t="shared" si="20"/>
        <v>2790</v>
      </c>
      <c r="J64" s="388">
        <f t="shared" si="20"/>
        <v>2790</v>
      </c>
      <c r="K64" s="388">
        <f t="shared" si="20"/>
        <v>2790</v>
      </c>
      <c r="L64" s="388">
        <f t="shared" si="20"/>
        <v>2790</v>
      </c>
      <c r="M64" s="388">
        <f t="shared" si="20"/>
        <v>2790</v>
      </c>
      <c r="N64" s="388">
        <f t="shared" si="20"/>
        <v>2790</v>
      </c>
      <c r="O64" s="388">
        <f t="shared" si="20"/>
        <v>2790</v>
      </c>
      <c r="P64" s="388">
        <f t="shared" si="20"/>
        <v>2790</v>
      </c>
      <c r="Q64" s="61">
        <f t="shared" si="13"/>
        <v>33480</v>
      </c>
      <c r="R64" s="61">
        <f t="shared" si="14"/>
        <v>1.5</v>
      </c>
      <c r="S64" s="148"/>
      <c r="T64" s="40" t="e">
        <f t="shared" si="10"/>
        <v>#DIV/0!</v>
      </c>
    </row>
    <row r="65" spans="1:20" s="77" customFormat="1" ht="25.4" customHeight="1">
      <c r="A65" s="3" t="s">
        <v>194</v>
      </c>
      <c r="B65" s="3" t="s">
        <v>370</v>
      </c>
      <c r="C65" s="3"/>
      <c r="D65" s="26" t="s">
        <v>195</v>
      </c>
      <c r="E65" s="388">
        <v>600</v>
      </c>
      <c r="F65" s="388">
        <v>600</v>
      </c>
      <c r="G65" s="388">
        <v>600</v>
      </c>
      <c r="H65" s="388">
        <v>600</v>
      </c>
      <c r="I65" s="388">
        <v>600</v>
      </c>
      <c r="J65" s="388">
        <v>600</v>
      </c>
      <c r="K65" s="388">
        <v>600</v>
      </c>
      <c r="L65" s="388">
        <v>600</v>
      </c>
      <c r="M65" s="388">
        <v>600</v>
      </c>
      <c r="N65" s="388">
        <v>600</v>
      </c>
      <c r="O65" s="388">
        <v>600</v>
      </c>
      <c r="P65" s="388">
        <v>600</v>
      </c>
      <c r="Q65" s="61">
        <f t="shared" si="13"/>
        <v>7200</v>
      </c>
      <c r="R65" s="61">
        <f t="shared" si="14"/>
        <v>0.32258064516129031</v>
      </c>
      <c r="S65" s="148"/>
      <c r="T65" s="40"/>
    </row>
    <row r="66" spans="1:20" s="77" customFormat="1" ht="25.4" customHeight="1">
      <c r="A66" s="3" t="s">
        <v>196</v>
      </c>
      <c r="B66" s="3" t="s">
        <v>370</v>
      </c>
      <c r="C66" s="3"/>
      <c r="D66" s="26" t="s">
        <v>197</v>
      </c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61">
        <f t="shared" si="13"/>
        <v>0</v>
      </c>
      <c r="R66" s="61">
        <f t="shared" si="14"/>
        <v>0</v>
      </c>
      <c r="S66" s="148"/>
      <c r="T66" s="40">
        <f t="shared" si="10"/>
        <v>0</v>
      </c>
    </row>
    <row r="67" spans="1:20" s="77" customFormat="1" ht="25.4" customHeight="1">
      <c r="A67" s="3" t="s">
        <v>198</v>
      </c>
      <c r="B67" s="3" t="s">
        <v>370</v>
      </c>
      <c r="C67" s="3"/>
      <c r="D67" s="26" t="s">
        <v>199</v>
      </c>
      <c r="E67" s="388">
        <f>12*E165</f>
        <v>372</v>
      </c>
      <c r="F67" s="388">
        <f t="shared" ref="F67:P67" si="21">12*F165</f>
        <v>480</v>
      </c>
      <c r="G67" s="388">
        <f t="shared" si="21"/>
        <v>360</v>
      </c>
      <c r="H67" s="388">
        <f t="shared" si="21"/>
        <v>396</v>
      </c>
      <c r="I67" s="388">
        <f t="shared" si="21"/>
        <v>384</v>
      </c>
      <c r="J67" s="388">
        <f t="shared" si="21"/>
        <v>420</v>
      </c>
      <c r="K67" s="388">
        <f t="shared" si="21"/>
        <v>444</v>
      </c>
      <c r="L67" s="388">
        <f t="shared" si="21"/>
        <v>468</v>
      </c>
      <c r="M67" s="388">
        <f t="shared" si="21"/>
        <v>540</v>
      </c>
      <c r="N67" s="388">
        <f t="shared" si="21"/>
        <v>372</v>
      </c>
      <c r="O67" s="388">
        <f t="shared" si="21"/>
        <v>384</v>
      </c>
      <c r="P67" s="388">
        <f t="shared" si="21"/>
        <v>408</v>
      </c>
      <c r="Q67" s="61">
        <f t="shared" si="13"/>
        <v>5028</v>
      </c>
      <c r="R67" s="61">
        <f t="shared" si="14"/>
        <v>0.22526881720430109</v>
      </c>
      <c r="S67" s="148"/>
      <c r="T67" s="40" t="e">
        <f t="shared" si="10"/>
        <v>#DIV/0!</v>
      </c>
    </row>
    <row r="68" spans="1:20" s="77" customFormat="1" ht="25.4" customHeight="1">
      <c r="A68" s="3" t="s">
        <v>200</v>
      </c>
      <c r="B68" s="3" t="s">
        <v>370</v>
      </c>
      <c r="C68" s="3"/>
      <c r="D68" s="26" t="s">
        <v>201</v>
      </c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61">
        <f t="shared" si="13"/>
        <v>0</v>
      </c>
      <c r="R68" s="61">
        <f t="shared" si="14"/>
        <v>0</v>
      </c>
      <c r="S68" s="148"/>
      <c r="T68" s="40">
        <f t="shared" si="10"/>
        <v>0</v>
      </c>
    </row>
    <row r="69" spans="1:20" s="77" customFormat="1" ht="25.4" customHeight="1">
      <c r="A69" s="3" t="s">
        <v>202</v>
      </c>
      <c r="B69" s="3" t="s">
        <v>370</v>
      </c>
      <c r="C69" s="3"/>
      <c r="D69" s="26" t="s">
        <v>203</v>
      </c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61">
        <f t="shared" si="13"/>
        <v>0</v>
      </c>
      <c r="R69" s="61">
        <f t="shared" si="14"/>
        <v>0</v>
      </c>
      <c r="S69" s="148"/>
      <c r="T69" s="40">
        <f t="shared" si="10"/>
        <v>0</v>
      </c>
    </row>
    <row r="70" spans="1:20" s="77" customFormat="1" ht="25.4" customHeight="1">
      <c r="A70" s="3" t="s">
        <v>204</v>
      </c>
      <c r="B70" s="3" t="s">
        <v>370</v>
      </c>
      <c r="C70" s="3"/>
      <c r="D70" s="26" t="s">
        <v>205</v>
      </c>
      <c r="E70" s="388">
        <v>300</v>
      </c>
      <c r="F70" s="388">
        <v>300</v>
      </c>
      <c r="G70" s="388">
        <v>300</v>
      </c>
      <c r="H70" s="388">
        <v>300</v>
      </c>
      <c r="I70" s="388">
        <v>300</v>
      </c>
      <c r="J70" s="388">
        <v>300</v>
      </c>
      <c r="K70" s="388">
        <v>300</v>
      </c>
      <c r="L70" s="388">
        <v>300</v>
      </c>
      <c r="M70" s="388">
        <v>300</v>
      </c>
      <c r="N70" s="388">
        <v>300</v>
      </c>
      <c r="O70" s="388">
        <v>300</v>
      </c>
      <c r="P70" s="388">
        <v>300</v>
      </c>
      <c r="Q70" s="61">
        <f t="shared" si="13"/>
        <v>3600</v>
      </c>
      <c r="R70" s="61">
        <f t="shared" si="14"/>
        <v>0.16129032258064516</v>
      </c>
      <c r="S70" s="148"/>
      <c r="T70" s="40" t="e">
        <f t="shared" si="10"/>
        <v>#DIV/0!</v>
      </c>
    </row>
    <row r="71" spans="1:20" s="77" customFormat="1" ht="25.4" customHeight="1">
      <c r="A71" s="3" t="s">
        <v>206</v>
      </c>
      <c r="B71" s="3" t="s">
        <v>370</v>
      </c>
      <c r="C71" s="3"/>
      <c r="D71" s="26" t="s">
        <v>207</v>
      </c>
      <c r="E71" s="388">
        <f t="shared" ref="E71:P71" si="22">ROUND(E117*2,2)</f>
        <v>3720</v>
      </c>
      <c r="F71" s="388">
        <f t="shared" si="22"/>
        <v>3720</v>
      </c>
      <c r="G71" s="388">
        <f t="shared" si="22"/>
        <v>3720</v>
      </c>
      <c r="H71" s="388">
        <f t="shared" si="22"/>
        <v>3720</v>
      </c>
      <c r="I71" s="388">
        <f t="shared" si="22"/>
        <v>3720</v>
      </c>
      <c r="J71" s="388">
        <f t="shared" si="22"/>
        <v>3720</v>
      </c>
      <c r="K71" s="388">
        <f t="shared" si="22"/>
        <v>3720</v>
      </c>
      <c r="L71" s="388">
        <f t="shared" si="22"/>
        <v>3720</v>
      </c>
      <c r="M71" s="388">
        <f t="shared" si="22"/>
        <v>3720</v>
      </c>
      <c r="N71" s="388">
        <f t="shared" si="22"/>
        <v>3720</v>
      </c>
      <c r="O71" s="388">
        <f t="shared" si="22"/>
        <v>3720</v>
      </c>
      <c r="P71" s="388">
        <f t="shared" si="22"/>
        <v>3720</v>
      </c>
      <c r="Q71" s="61">
        <f t="shared" si="13"/>
        <v>44640</v>
      </c>
      <c r="R71" s="61">
        <f t="shared" si="14"/>
        <v>2</v>
      </c>
      <c r="S71" s="148"/>
      <c r="T71" s="40" t="e">
        <f t="shared" si="10"/>
        <v>#DIV/0!</v>
      </c>
    </row>
    <row r="72" spans="1:20" s="77" customFormat="1" ht="25.4" customHeight="1">
      <c r="A72" s="3" t="s">
        <v>208</v>
      </c>
      <c r="B72" s="3" t="s">
        <v>370</v>
      </c>
      <c r="C72" s="3"/>
      <c r="D72" s="26" t="s">
        <v>209</v>
      </c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61">
        <f t="shared" si="13"/>
        <v>0</v>
      </c>
      <c r="R72" s="61">
        <f t="shared" si="14"/>
        <v>0</v>
      </c>
      <c r="S72" s="148"/>
      <c r="T72" s="40">
        <f t="shared" si="10"/>
        <v>0</v>
      </c>
    </row>
    <row r="73" spans="1:20" s="77" customFormat="1" ht="25.4" customHeight="1">
      <c r="A73" s="3" t="s">
        <v>210</v>
      </c>
      <c r="B73" s="3" t="s">
        <v>370</v>
      </c>
      <c r="C73" s="3"/>
      <c r="D73" s="26" t="s">
        <v>211</v>
      </c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61">
        <f t="shared" si="13"/>
        <v>0</v>
      </c>
      <c r="R73" s="61">
        <f t="shared" si="14"/>
        <v>0</v>
      </c>
      <c r="S73" s="148"/>
      <c r="T73" s="40">
        <f t="shared" si="10"/>
        <v>0</v>
      </c>
    </row>
    <row r="74" spans="1:20" s="77" customFormat="1" ht="25.4" customHeight="1">
      <c r="A74" s="3" t="s">
        <v>212</v>
      </c>
      <c r="B74" s="3" t="s">
        <v>370</v>
      </c>
      <c r="C74" s="3"/>
      <c r="D74" s="26" t="s">
        <v>213</v>
      </c>
      <c r="E74" s="388">
        <f t="shared" ref="E74:P74" si="23">ROUND(E117*2,2)</f>
        <v>3720</v>
      </c>
      <c r="F74" s="388">
        <f t="shared" si="23"/>
        <v>3720</v>
      </c>
      <c r="G74" s="388">
        <f t="shared" si="23"/>
        <v>3720</v>
      </c>
      <c r="H74" s="388">
        <f t="shared" si="23"/>
        <v>3720</v>
      </c>
      <c r="I74" s="388">
        <f t="shared" si="23"/>
        <v>3720</v>
      </c>
      <c r="J74" s="388">
        <f t="shared" si="23"/>
        <v>3720</v>
      </c>
      <c r="K74" s="388">
        <f t="shared" si="23"/>
        <v>3720</v>
      </c>
      <c r="L74" s="388">
        <f t="shared" si="23"/>
        <v>3720</v>
      </c>
      <c r="M74" s="388">
        <f t="shared" si="23"/>
        <v>3720</v>
      </c>
      <c r="N74" s="388">
        <f t="shared" si="23"/>
        <v>3720</v>
      </c>
      <c r="O74" s="388">
        <f t="shared" si="23"/>
        <v>3720</v>
      </c>
      <c r="P74" s="388">
        <f t="shared" si="23"/>
        <v>3720</v>
      </c>
      <c r="Q74" s="61">
        <f t="shared" si="13"/>
        <v>44640</v>
      </c>
      <c r="R74" s="61">
        <f t="shared" si="14"/>
        <v>2</v>
      </c>
      <c r="S74" s="148"/>
      <c r="T74" s="40" t="e">
        <f t="shared" si="10"/>
        <v>#DIV/0!</v>
      </c>
    </row>
    <row r="75" spans="1:20" s="77" customFormat="1" ht="24.75" customHeight="1">
      <c r="A75" s="3" t="s">
        <v>214</v>
      </c>
      <c r="B75" s="3" t="s">
        <v>370</v>
      </c>
      <c r="C75" s="3"/>
      <c r="D75" s="26" t="s">
        <v>215</v>
      </c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61">
        <f t="shared" si="13"/>
        <v>0</v>
      </c>
      <c r="R75" s="61">
        <f t="shared" si="14"/>
        <v>0</v>
      </c>
      <c r="S75" s="148"/>
      <c r="T75" s="40">
        <f t="shared" si="10"/>
        <v>0</v>
      </c>
    </row>
    <row r="76" spans="1:20" s="77" customFormat="1" ht="25.4" customHeight="1">
      <c r="A76" s="3" t="s">
        <v>216</v>
      </c>
      <c r="B76" s="3" t="s">
        <v>370</v>
      </c>
      <c r="C76" s="3"/>
      <c r="D76" s="26" t="s">
        <v>217</v>
      </c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61">
        <f t="shared" si="13"/>
        <v>0</v>
      </c>
      <c r="R76" s="61">
        <f t="shared" si="14"/>
        <v>0</v>
      </c>
      <c r="S76" s="148"/>
      <c r="T76" s="40">
        <f t="shared" si="10"/>
        <v>0</v>
      </c>
    </row>
    <row r="77" spans="1:20" s="77" customFormat="1" ht="25.4" customHeight="1">
      <c r="A77" s="3" t="s">
        <v>218</v>
      </c>
      <c r="B77" s="3" t="s">
        <v>370</v>
      </c>
      <c r="C77" s="3"/>
      <c r="D77" s="26" t="s">
        <v>219</v>
      </c>
      <c r="E77" s="388">
        <f t="shared" ref="E77:P77" si="24">ROUND(E117*2,2)</f>
        <v>3720</v>
      </c>
      <c r="F77" s="388">
        <f t="shared" si="24"/>
        <v>3720</v>
      </c>
      <c r="G77" s="388">
        <f t="shared" si="24"/>
        <v>3720</v>
      </c>
      <c r="H77" s="388">
        <f t="shared" si="24"/>
        <v>3720</v>
      </c>
      <c r="I77" s="388">
        <f t="shared" si="24"/>
        <v>3720</v>
      </c>
      <c r="J77" s="388">
        <f t="shared" si="24"/>
        <v>3720</v>
      </c>
      <c r="K77" s="388">
        <f t="shared" si="24"/>
        <v>3720</v>
      </c>
      <c r="L77" s="388">
        <f t="shared" si="24"/>
        <v>3720</v>
      </c>
      <c r="M77" s="388">
        <f t="shared" si="24"/>
        <v>3720</v>
      </c>
      <c r="N77" s="388">
        <f t="shared" si="24"/>
        <v>3720</v>
      </c>
      <c r="O77" s="388">
        <f t="shared" si="24"/>
        <v>3720</v>
      </c>
      <c r="P77" s="388">
        <f t="shared" si="24"/>
        <v>3720</v>
      </c>
      <c r="Q77" s="61">
        <f t="shared" si="13"/>
        <v>44640</v>
      </c>
      <c r="R77" s="61">
        <f t="shared" si="14"/>
        <v>2</v>
      </c>
      <c r="S77" s="148"/>
      <c r="T77" s="40" t="e">
        <f t="shared" si="10"/>
        <v>#DIV/0!</v>
      </c>
    </row>
    <row r="78" spans="1:20" s="77" customFormat="1" ht="25.4" customHeight="1">
      <c r="A78" s="3" t="s">
        <v>220</v>
      </c>
      <c r="B78" s="3" t="s">
        <v>370</v>
      </c>
      <c r="C78" s="3"/>
      <c r="D78" s="26" t="s">
        <v>221</v>
      </c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8"/>
      <c r="P78" s="388"/>
      <c r="Q78" s="61">
        <f t="shared" si="13"/>
        <v>0</v>
      </c>
      <c r="R78" s="61">
        <f t="shared" si="14"/>
        <v>0</v>
      </c>
      <c r="S78" s="148"/>
      <c r="T78" s="40">
        <f t="shared" si="10"/>
        <v>0</v>
      </c>
    </row>
    <row r="79" spans="1:20" s="77" customFormat="1" ht="25.4" customHeight="1">
      <c r="A79" s="3" t="s">
        <v>222</v>
      </c>
      <c r="B79" s="3" t="s">
        <v>370</v>
      </c>
      <c r="C79" s="3"/>
      <c r="D79" s="26" t="s">
        <v>223</v>
      </c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61">
        <f t="shared" si="13"/>
        <v>0</v>
      </c>
      <c r="R79" s="61">
        <f t="shared" si="14"/>
        <v>0</v>
      </c>
      <c r="S79" s="148"/>
      <c r="T79" s="40">
        <f t="shared" si="10"/>
        <v>0</v>
      </c>
    </row>
    <row r="80" spans="1:20" s="77" customFormat="1" ht="25.4" customHeight="1">
      <c r="A80" s="3" t="s">
        <v>224</v>
      </c>
      <c r="B80" s="3" t="s">
        <v>370</v>
      </c>
      <c r="C80" s="3"/>
      <c r="D80" s="26" t="s">
        <v>225</v>
      </c>
      <c r="E80" s="388"/>
      <c r="F80" s="388"/>
      <c r="G80" s="388"/>
      <c r="H80" s="388"/>
      <c r="I80" s="388"/>
      <c r="J80" s="388"/>
      <c r="K80" s="388"/>
      <c r="L80" s="388"/>
      <c r="M80" s="388"/>
      <c r="N80" s="388"/>
      <c r="O80" s="388"/>
      <c r="P80" s="388"/>
      <c r="Q80" s="61">
        <f t="shared" si="13"/>
        <v>0</v>
      </c>
      <c r="R80" s="61">
        <f t="shared" si="14"/>
        <v>0</v>
      </c>
      <c r="S80" s="148"/>
      <c r="T80" s="40">
        <f t="shared" si="10"/>
        <v>0</v>
      </c>
    </row>
    <row r="81" spans="1:21" s="77" customFormat="1" ht="25.4" customHeight="1">
      <c r="A81" s="3" t="s">
        <v>226</v>
      </c>
      <c r="B81" s="3" t="s">
        <v>370</v>
      </c>
      <c r="C81" s="3"/>
      <c r="D81" s="26" t="s">
        <v>227</v>
      </c>
      <c r="E81" s="388">
        <f t="shared" ref="E81:P81" si="25">ROUND(E117*1,2)</f>
        <v>1860</v>
      </c>
      <c r="F81" s="388">
        <f t="shared" si="25"/>
        <v>1860</v>
      </c>
      <c r="G81" s="388">
        <f t="shared" si="25"/>
        <v>1860</v>
      </c>
      <c r="H81" s="388">
        <f t="shared" si="25"/>
        <v>1860</v>
      </c>
      <c r="I81" s="388">
        <f t="shared" si="25"/>
        <v>1860</v>
      </c>
      <c r="J81" s="388">
        <f t="shared" si="25"/>
        <v>1860</v>
      </c>
      <c r="K81" s="388">
        <f t="shared" si="25"/>
        <v>1860</v>
      </c>
      <c r="L81" s="388">
        <f t="shared" si="25"/>
        <v>1860</v>
      </c>
      <c r="M81" s="388">
        <f t="shared" si="25"/>
        <v>1860</v>
      </c>
      <c r="N81" s="388">
        <f t="shared" si="25"/>
        <v>1860</v>
      </c>
      <c r="O81" s="388">
        <f t="shared" si="25"/>
        <v>1860</v>
      </c>
      <c r="P81" s="388">
        <f t="shared" si="25"/>
        <v>1860</v>
      </c>
      <c r="Q81" s="61">
        <f t="shared" si="13"/>
        <v>22320</v>
      </c>
      <c r="R81" s="61">
        <f t="shared" si="14"/>
        <v>1</v>
      </c>
      <c r="S81" s="148"/>
      <c r="T81" s="40" t="e">
        <f t="shared" si="10"/>
        <v>#DIV/0!</v>
      </c>
    </row>
    <row r="82" spans="1:21" s="77" customFormat="1" ht="25.4" hidden="1" customHeight="1">
      <c r="A82" s="3" t="s">
        <v>228</v>
      </c>
      <c r="B82" s="3" t="s">
        <v>370</v>
      </c>
      <c r="C82" s="3"/>
      <c r="D82" s="26" t="s">
        <v>229</v>
      </c>
      <c r="E82" s="388"/>
      <c r="F82" s="388"/>
      <c r="G82" s="388"/>
      <c r="H82" s="388"/>
      <c r="I82" s="388"/>
      <c r="J82" s="388"/>
      <c r="K82" s="388"/>
      <c r="L82" s="388"/>
      <c r="M82" s="388"/>
      <c r="N82" s="388"/>
      <c r="O82" s="388"/>
      <c r="P82" s="388"/>
      <c r="Q82" s="61">
        <f t="shared" si="13"/>
        <v>0</v>
      </c>
      <c r="R82" s="61">
        <f t="shared" si="14"/>
        <v>0</v>
      </c>
      <c r="S82" s="148"/>
      <c r="T82" s="40">
        <f t="shared" si="10"/>
        <v>0</v>
      </c>
    </row>
    <row r="83" spans="1:21" s="77" customFormat="1" ht="25.4" hidden="1" customHeight="1">
      <c r="A83" s="3" t="s">
        <v>230</v>
      </c>
      <c r="B83" s="3" t="s">
        <v>370</v>
      </c>
      <c r="C83" s="3"/>
      <c r="D83" s="26" t="s">
        <v>231</v>
      </c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388"/>
      <c r="P83" s="388"/>
      <c r="Q83" s="61">
        <f t="shared" si="13"/>
        <v>0</v>
      </c>
      <c r="R83" s="61">
        <f t="shared" si="14"/>
        <v>0</v>
      </c>
      <c r="S83" s="148"/>
      <c r="T83" s="40">
        <f t="shared" si="10"/>
        <v>0</v>
      </c>
    </row>
    <row r="84" spans="1:21" s="77" customFormat="1" ht="25.4" hidden="1" customHeight="1">
      <c r="A84" s="3" t="s">
        <v>232</v>
      </c>
      <c r="B84" s="3" t="s">
        <v>370</v>
      </c>
      <c r="C84" s="3"/>
      <c r="D84" s="26" t="s">
        <v>233</v>
      </c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61">
        <f t="shared" si="13"/>
        <v>0</v>
      </c>
      <c r="R84" s="61">
        <f t="shared" si="14"/>
        <v>0</v>
      </c>
      <c r="S84" s="148"/>
      <c r="T84" s="40">
        <f t="shared" si="10"/>
        <v>0</v>
      </c>
    </row>
    <row r="85" spans="1:21" s="77" customFormat="1" ht="25.4" hidden="1" customHeight="1">
      <c r="A85" s="3" t="s">
        <v>234</v>
      </c>
      <c r="B85" s="3" t="s">
        <v>370</v>
      </c>
      <c r="C85" s="3"/>
      <c r="D85" s="26" t="s">
        <v>235</v>
      </c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61">
        <f t="shared" si="13"/>
        <v>0</v>
      </c>
      <c r="R85" s="61">
        <f t="shared" si="14"/>
        <v>0</v>
      </c>
      <c r="S85" s="148"/>
      <c r="T85" s="40">
        <f t="shared" si="10"/>
        <v>0</v>
      </c>
    </row>
    <row r="86" spans="1:21" s="77" customFormat="1" ht="25.4" hidden="1" customHeight="1">
      <c r="A86" s="3" t="s">
        <v>422</v>
      </c>
      <c r="B86" s="3" t="s">
        <v>370</v>
      </c>
      <c r="C86" s="3"/>
      <c r="D86" s="26" t="s">
        <v>423</v>
      </c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61">
        <f t="shared" si="13"/>
        <v>0</v>
      </c>
      <c r="R86" s="61">
        <f t="shared" si="14"/>
        <v>0</v>
      </c>
      <c r="S86" s="148"/>
      <c r="T86" s="40">
        <f t="shared" si="10"/>
        <v>0</v>
      </c>
    </row>
    <row r="87" spans="1:21" s="77" customFormat="1" ht="25.4" hidden="1" customHeight="1">
      <c r="A87" s="3" t="s">
        <v>236</v>
      </c>
      <c r="B87" s="3" t="s">
        <v>370</v>
      </c>
      <c r="C87" s="3"/>
      <c r="D87" s="26" t="s">
        <v>237</v>
      </c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61">
        <f t="shared" si="13"/>
        <v>0</v>
      </c>
      <c r="R87" s="61">
        <f t="shared" si="14"/>
        <v>0</v>
      </c>
      <c r="S87" s="148"/>
      <c r="T87" s="40">
        <f t="shared" si="10"/>
        <v>0</v>
      </c>
    </row>
    <row r="88" spans="1:21" s="77" customFormat="1" ht="25.4" hidden="1" customHeight="1">
      <c r="A88" s="3" t="s">
        <v>238</v>
      </c>
      <c r="B88" s="3" t="s">
        <v>370</v>
      </c>
      <c r="C88" s="3"/>
      <c r="D88" s="26" t="s">
        <v>239</v>
      </c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61">
        <f t="shared" si="13"/>
        <v>0</v>
      </c>
      <c r="R88" s="61">
        <f t="shared" si="14"/>
        <v>0</v>
      </c>
      <c r="S88" s="148"/>
      <c r="T88" s="40">
        <f t="shared" si="10"/>
        <v>0</v>
      </c>
    </row>
    <row r="89" spans="1:21" s="77" customFormat="1" ht="25.4" hidden="1" customHeight="1">
      <c r="A89" s="3" t="s">
        <v>240</v>
      </c>
      <c r="B89" s="3" t="s">
        <v>370</v>
      </c>
      <c r="C89" s="3"/>
      <c r="D89" s="26" t="s">
        <v>241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61">
        <f t="shared" si="13"/>
        <v>0</v>
      </c>
      <c r="R89" s="61">
        <f t="shared" si="14"/>
        <v>0</v>
      </c>
      <c r="S89" s="148"/>
      <c r="T89" s="40">
        <f t="shared" si="10"/>
        <v>0</v>
      </c>
    </row>
    <row r="90" spans="1:21" s="77" customFormat="1" ht="25.4" hidden="1" customHeight="1">
      <c r="A90" s="3" t="s">
        <v>242</v>
      </c>
      <c r="B90" s="3" t="s">
        <v>370</v>
      </c>
      <c r="C90" s="3"/>
      <c r="D90" s="26" t="s">
        <v>243</v>
      </c>
      <c r="E90" s="388"/>
      <c r="F90" s="388"/>
      <c r="G90" s="388"/>
      <c r="H90" s="388"/>
      <c r="I90" s="388"/>
      <c r="J90" s="388"/>
      <c r="K90" s="388"/>
      <c r="L90" s="388"/>
      <c r="M90" s="388"/>
      <c r="N90" s="388"/>
      <c r="O90" s="388"/>
      <c r="P90" s="388"/>
      <c r="Q90" s="61">
        <f t="shared" si="13"/>
        <v>0</v>
      </c>
      <c r="R90" s="61">
        <f t="shared" si="14"/>
        <v>0</v>
      </c>
      <c r="S90" s="148"/>
      <c r="T90" s="40">
        <f t="shared" si="10"/>
        <v>0</v>
      </c>
    </row>
    <row r="91" spans="1:21" s="77" customFormat="1" ht="25.4" hidden="1" customHeight="1">
      <c r="A91" s="3" t="s">
        <v>244</v>
      </c>
      <c r="B91" s="3" t="s">
        <v>370</v>
      </c>
      <c r="C91" s="3"/>
      <c r="D91" s="26" t="s">
        <v>245</v>
      </c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61">
        <f t="shared" si="13"/>
        <v>0</v>
      </c>
      <c r="R91" s="61">
        <f t="shared" si="14"/>
        <v>0</v>
      </c>
      <c r="S91" s="148"/>
      <c r="T91" s="40">
        <f t="shared" si="10"/>
        <v>0</v>
      </c>
    </row>
    <row r="92" spans="1:21" s="77" customFormat="1" ht="25.4" customHeight="1">
      <c r="A92" s="3" t="s">
        <v>246</v>
      </c>
      <c r="B92" s="3" t="s">
        <v>370</v>
      </c>
      <c r="C92" s="3"/>
      <c r="D92" s="26" t="s">
        <v>247</v>
      </c>
      <c r="E92" s="388"/>
      <c r="F92" s="388"/>
      <c r="G92" s="388"/>
      <c r="H92" s="388"/>
      <c r="I92" s="388"/>
      <c r="J92" s="388"/>
      <c r="K92" s="388"/>
      <c r="L92" s="388"/>
      <c r="M92" s="388"/>
      <c r="N92" s="388"/>
      <c r="O92" s="388"/>
      <c r="P92" s="388"/>
      <c r="Q92" s="61">
        <f t="shared" si="13"/>
        <v>0</v>
      </c>
      <c r="R92" s="61">
        <f t="shared" si="14"/>
        <v>0</v>
      </c>
      <c r="S92" s="148"/>
      <c r="T92" s="40">
        <f t="shared" si="10"/>
        <v>0</v>
      </c>
    </row>
    <row r="93" spans="1:21" s="77" customFormat="1" ht="25.4" customHeight="1">
      <c r="A93" s="3" t="s">
        <v>248</v>
      </c>
      <c r="B93" s="3" t="s">
        <v>370</v>
      </c>
      <c r="C93" s="3"/>
      <c r="D93" s="26" t="s">
        <v>249</v>
      </c>
      <c r="E93" s="388"/>
      <c r="F93" s="388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61">
        <f t="shared" si="13"/>
        <v>0</v>
      </c>
      <c r="R93" s="61">
        <f t="shared" si="14"/>
        <v>0</v>
      </c>
      <c r="S93" s="148"/>
      <c r="T93" s="40">
        <f t="shared" si="10"/>
        <v>0</v>
      </c>
    </row>
    <row r="94" spans="1:21" s="77" customFormat="1" ht="25.4" customHeight="1">
      <c r="A94" s="3" t="s">
        <v>250</v>
      </c>
      <c r="B94" s="3" t="s">
        <v>370</v>
      </c>
      <c r="C94" s="3"/>
      <c r="D94" s="26" t="s">
        <v>251</v>
      </c>
      <c r="E94" s="388">
        <v>200</v>
      </c>
      <c r="F94" s="388">
        <v>200</v>
      </c>
      <c r="G94" s="388">
        <v>200</v>
      </c>
      <c r="H94" s="388">
        <v>200</v>
      </c>
      <c r="I94" s="388">
        <v>200</v>
      </c>
      <c r="J94" s="388">
        <v>200</v>
      </c>
      <c r="K94" s="388">
        <v>200</v>
      </c>
      <c r="L94" s="388">
        <v>200</v>
      </c>
      <c r="M94" s="388">
        <v>200</v>
      </c>
      <c r="N94" s="388">
        <v>200</v>
      </c>
      <c r="O94" s="388">
        <v>200</v>
      </c>
      <c r="P94" s="388">
        <v>200</v>
      </c>
      <c r="Q94" s="61">
        <f t="shared" si="13"/>
        <v>2400</v>
      </c>
      <c r="R94" s="61">
        <f t="shared" si="14"/>
        <v>0.10752688172043011</v>
      </c>
      <c r="S94" s="148"/>
      <c r="T94" s="40" t="e">
        <f t="shared" si="10"/>
        <v>#DIV/0!</v>
      </c>
    </row>
    <row r="95" spans="1:21" s="3" customFormat="1" ht="25.4" customHeight="1">
      <c r="A95" s="3" t="s">
        <v>252</v>
      </c>
      <c r="B95" s="50" t="s">
        <v>370</v>
      </c>
      <c r="D95" s="26" t="s">
        <v>253</v>
      </c>
      <c r="E95" s="63">
        <v>9133.4700000000012</v>
      </c>
      <c r="F95" s="63">
        <v>10218.269999999997</v>
      </c>
      <c r="G95" s="63">
        <v>7559.1799999999994</v>
      </c>
      <c r="H95" s="63">
        <v>8432.8700000000026</v>
      </c>
      <c r="I95" s="63">
        <v>8193.09</v>
      </c>
      <c r="J95" s="63">
        <v>8057.1200000000008</v>
      </c>
      <c r="K95" s="63">
        <v>8265.7599999999984</v>
      </c>
      <c r="L95" s="63">
        <v>8797.2300000000014</v>
      </c>
      <c r="M95" s="63">
        <v>10538.52</v>
      </c>
      <c r="N95" s="63">
        <v>7739.5199999999986</v>
      </c>
      <c r="O95" s="63">
        <v>7216.07</v>
      </c>
      <c r="P95" s="63">
        <v>7516.3600000000006</v>
      </c>
      <c r="Q95" s="61">
        <f>SUM(E95:P95)</f>
        <v>101667.46</v>
      </c>
      <c r="R95" s="3">
        <f t="shared" si="14"/>
        <v>4.5549937275985668</v>
      </c>
      <c r="T95" s="3" t="e">
        <f t="shared" si="10"/>
        <v>#DIV/0!</v>
      </c>
      <c r="U95" s="3">
        <f>+Q95/507</f>
        <v>200.52753451676529</v>
      </c>
    </row>
    <row r="96" spans="1:21" s="77" customFormat="1" ht="25.4" customHeight="1">
      <c r="A96" s="3" t="s">
        <v>254</v>
      </c>
      <c r="B96" s="3" t="s">
        <v>370</v>
      </c>
      <c r="C96" s="3"/>
      <c r="D96" s="26" t="s">
        <v>255</v>
      </c>
      <c r="E96" s="389"/>
      <c r="F96" s="389"/>
      <c r="G96" s="389"/>
      <c r="H96" s="389"/>
      <c r="I96" s="389"/>
      <c r="J96" s="389"/>
      <c r="K96" s="389"/>
      <c r="L96" s="389"/>
      <c r="M96" s="389"/>
      <c r="N96" s="389"/>
      <c r="O96" s="389"/>
      <c r="P96" s="389"/>
      <c r="Q96" s="61">
        <f t="shared" si="13"/>
        <v>0</v>
      </c>
      <c r="R96" s="61">
        <f t="shared" si="14"/>
        <v>0</v>
      </c>
      <c r="S96" s="148"/>
      <c r="T96" s="40">
        <f t="shared" ref="T96:T108" si="26">-IF(Q96-S96=0,0,(Q96-S96)/S96)</f>
        <v>0</v>
      </c>
    </row>
    <row r="97" spans="1:20" s="77" customFormat="1" ht="25.4" customHeight="1">
      <c r="A97" s="3" t="s">
        <v>256</v>
      </c>
      <c r="B97" s="3" t="s">
        <v>370</v>
      </c>
      <c r="C97" s="3"/>
      <c r="D97" s="26" t="s">
        <v>257</v>
      </c>
      <c r="E97" s="389">
        <v>200</v>
      </c>
      <c r="F97" s="389">
        <v>200</v>
      </c>
      <c r="G97" s="389">
        <v>200</v>
      </c>
      <c r="H97" s="389">
        <v>200</v>
      </c>
      <c r="I97" s="389">
        <v>200</v>
      </c>
      <c r="J97" s="389">
        <v>200</v>
      </c>
      <c r="K97" s="389">
        <v>200</v>
      </c>
      <c r="L97" s="389">
        <v>200</v>
      </c>
      <c r="M97" s="389">
        <v>200</v>
      </c>
      <c r="N97" s="389">
        <v>200</v>
      </c>
      <c r="O97" s="389">
        <v>200</v>
      </c>
      <c r="P97" s="389">
        <v>200</v>
      </c>
      <c r="Q97" s="61">
        <f t="shared" si="13"/>
        <v>2400</v>
      </c>
      <c r="R97" s="61">
        <f t="shared" si="14"/>
        <v>0.10752688172043011</v>
      </c>
      <c r="S97" s="148"/>
      <c r="T97" s="40"/>
    </row>
    <row r="98" spans="1:20" s="77" customFormat="1" ht="25.4" customHeight="1">
      <c r="A98" s="3" t="s">
        <v>258</v>
      </c>
      <c r="B98" s="3" t="s">
        <v>370</v>
      </c>
      <c r="C98" s="3"/>
      <c r="D98" s="26" t="s">
        <v>259</v>
      </c>
      <c r="E98" s="389"/>
      <c r="F98" s="389"/>
      <c r="G98" s="389"/>
      <c r="H98" s="389"/>
      <c r="I98" s="389"/>
      <c r="J98" s="389"/>
      <c r="K98" s="389"/>
      <c r="L98" s="389"/>
      <c r="M98" s="389"/>
      <c r="N98" s="389"/>
      <c r="O98" s="389"/>
      <c r="P98" s="389"/>
      <c r="Q98" s="61">
        <f t="shared" si="13"/>
        <v>0</v>
      </c>
      <c r="R98" s="61">
        <f t="shared" si="14"/>
        <v>0</v>
      </c>
      <c r="S98" s="148"/>
      <c r="T98" s="40">
        <f t="shared" si="26"/>
        <v>0</v>
      </c>
    </row>
    <row r="99" spans="1:20" s="77" customFormat="1" ht="25.4" customHeight="1">
      <c r="A99" s="3" t="s">
        <v>260</v>
      </c>
      <c r="B99" s="3" t="s">
        <v>370</v>
      </c>
      <c r="C99" s="3"/>
      <c r="D99" s="26" t="s">
        <v>261</v>
      </c>
      <c r="E99" s="389"/>
      <c r="F99" s="389"/>
      <c r="G99" s="389"/>
      <c r="H99" s="389"/>
      <c r="I99" s="389"/>
      <c r="J99" s="389"/>
      <c r="K99" s="389"/>
      <c r="L99" s="389"/>
      <c r="M99" s="389"/>
      <c r="N99" s="389"/>
      <c r="O99" s="389"/>
      <c r="P99" s="389"/>
      <c r="Q99" s="61">
        <f t="shared" si="13"/>
        <v>0</v>
      </c>
      <c r="R99" s="61">
        <f t="shared" si="14"/>
        <v>0</v>
      </c>
      <c r="S99" s="148"/>
      <c r="T99" s="40">
        <f t="shared" si="26"/>
        <v>0</v>
      </c>
    </row>
    <row r="100" spans="1:20" s="77" customFormat="1" ht="25.4" customHeight="1">
      <c r="A100" s="3" t="s">
        <v>262</v>
      </c>
      <c r="B100" s="3" t="s">
        <v>370</v>
      </c>
      <c r="C100" s="3"/>
      <c r="D100" s="26" t="s">
        <v>263</v>
      </c>
      <c r="E100" s="389"/>
      <c r="F100" s="389"/>
      <c r="G100" s="389"/>
      <c r="H100" s="389"/>
      <c r="I100" s="389"/>
      <c r="J100" s="389"/>
      <c r="K100" s="389"/>
      <c r="L100" s="389"/>
      <c r="M100" s="389"/>
      <c r="N100" s="389"/>
      <c r="O100" s="389"/>
      <c r="P100" s="389"/>
      <c r="Q100" s="61">
        <f t="shared" si="13"/>
        <v>0</v>
      </c>
      <c r="R100" s="61">
        <f t="shared" si="14"/>
        <v>0</v>
      </c>
      <c r="S100" s="148"/>
      <c r="T100" s="40">
        <f t="shared" si="26"/>
        <v>0</v>
      </c>
    </row>
    <row r="101" spans="1:20" s="77" customFormat="1" ht="25.4" customHeight="1">
      <c r="A101" s="3" t="s">
        <v>264</v>
      </c>
      <c r="B101" s="3" t="s">
        <v>370</v>
      </c>
      <c r="C101" s="3"/>
      <c r="D101" s="26" t="s">
        <v>265</v>
      </c>
      <c r="E101" s="389"/>
      <c r="F101" s="389"/>
      <c r="G101" s="389"/>
      <c r="H101" s="389"/>
      <c r="I101" s="389"/>
      <c r="J101" s="389"/>
      <c r="K101" s="389"/>
      <c r="L101" s="389"/>
      <c r="M101" s="389"/>
      <c r="N101" s="389"/>
      <c r="O101" s="389"/>
      <c r="P101" s="389"/>
      <c r="Q101" s="61">
        <f t="shared" si="13"/>
        <v>0</v>
      </c>
      <c r="R101" s="61">
        <f t="shared" si="14"/>
        <v>0</v>
      </c>
      <c r="S101" s="148"/>
      <c r="T101" s="40">
        <f t="shared" si="26"/>
        <v>0</v>
      </c>
    </row>
    <row r="102" spans="1:20" s="77" customFormat="1" ht="25.4" customHeight="1">
      <c r="A102" s="3" t="s">
        <v>266</v>
      </c>
      <c r="B102" s="3" t="s">
        <v>370</v>
      </c>
      <c r="C102" s="3"/>
      <c r="D102" s="26" t="s">
        <v>267</v>
      </c>
      <c r="E102" s="389"/>
      <c r="F102" s="389"/>
      <c r="G102" s="389"/>
      <c r="H102" s="389"/>
      <c r="I102" s="389"/>
      <c r="J102" s="389"/>
      <c r="K102" s="389"/>
      <c r="L102" s="389"/>
      <c r="M102" s="389"/>
      <c r="N102" s="389"/>
      <c r="O102" s="389"/>
      <c r="P102" s="389"/>
      <c r="Q102" s="61">
        <f t="shared" si="13"/>
        <v>0</v>
      </c>
      <c r="R102" s="61">
        <f t="shared" si="14"/>
        <v>0</v>
      </c>
      <c r="S102" s="148"/>
      <c r="T102" s="40">
        <f t="shared" si="26"/>
        <v>0</v>
      </c>
    </row>
    <row r="103" spans="1:20" s="77" customFormat="1" ht="25.4" customHeight="1">
      <c r="A103" s="3" t="s">
        <v>268</v>
      </c>
      <c r="B103" s="3" t="s">
        <v>370</v>
      </c>
      <c r="C103" s="3"/>
      <c r="D103" s="26" t="s">
        <v>269</v>
      </c>
      <c r="E103" s="389">
        <v>85</v>
      </c>
      <c r="F103" s="389">
        <v>85</v>
      </c>
      <c r="G103" s="389">
        <v>85</v>
      </c>
      <c r="H103" s="389">
        <v>85</v>
      </c>
      <c r="I103" s="389">
        <v>85</v>
      </c>
      <c r="J103" s="389">
        <v>85</v>
      </c>
      <c r="K103" s="389">
        <v>85</v>
      </c>
      <c r="L103" s="389">
        <v>85</v>
      </c>
      <c r="M103" s="389">
        <v>85</v>
      </c>
      <c r="N103" s="389">
        <v>85</v>
      </c>
      <c r="O103" s="389">
        <v>85</v>
      </c>
      <c r="P103" s="389">
        <v>85</v>
      </c>
      <c r="Q103" s="61">
        <f t="shared" si="13"/>
        <v>1020</v>
      </c>
      <c r="R103" s="61">
        <f t="shared" si="14"/>
        <v>4.5698924731182797E-2</v>
      </c>
      <c r="S103" s="148"/>
      <c r="T103" s="40" t="e">
        <f t="shared" si="26"/>
        <v>#DIV/0!</v>
      </c>
    </row>
    <row r="104" spans="1:20" s="77" customFormat="1" ht="25.4" customHeight="1">
      <c r="A104" s="3" t="s">
        <v>270</v>
      </c>
      <c r="B104" s="3" t="s">
        <v>370</v>
      </c>
      <c r="C104" s="3"/>
      <c r="D104" s="26" t="s">
        <v>271</v>
      </c>
      <c r="E104" s="389"/>
      <c r="F104" s="389"/>
      <c r="G104" s="389"/>
      <c r="H104" s="389"/>
      <c r="I104" s="389"/>
      <c r="J104" s="389"/>
      <c r="K104" s="389"/>
      <c r="L104" s="389"/>
      <c r="M104" s="389"/>
      <c r="N104" s="389"/>
      <c r="O104" s="389"/>
      <c r="P104" s="389"/>
      <c r="Q104" s="61">
        <f t="shared" ref="Q104:Q107" si="27">SUM(E104:P104)</f>
        <v>0</v>
      </c>
      <c r="R104" s="61">
        <f>Q104/$Q$117</f>
        <v>0</v>
      </c>
      <c r="S104" s="148"/>
      <c r="T104" s="40">
        <f t="shared" si="26"/>
        <v>0</v>
      </c>
    </row>
    <row r="105" spans="1:20" s="77" customFormat="1" ht="25.4" customHeight="1">
      <c r="A105" s="3" t="s">
        <v>272</v>
      </c>
      <c r="B105" s="3" t="s">
        <v>370</v>
      </c>
      <c r="C105" s="3"/>
      <c r="D105" s="26" t="s">
        <v>273</v>
      </c>
      <c r="E105" s="389"/>
      <c r="F105" s="389"/>
      <c r="G105" s="389"/>
      <c r="H105" s="389"/>
      <c r="I105" s="389"/>
      <c r="J105" s="389"/>
      <c r="K105" s="389"/>
      <c r="L105" s="389"/>
      <c r="M105" s="389"/>
      <c r="N105" s="389"/>
      <c r="O105" s="389"/>
      <c r="P105" s="389"/>
      <c r="Q105" s="61">
        <f t="shared" si="27"/>
        <v>0</v>
      </c>
      <c r="R105" s="61">
        <f>Q105/$Q$117</f>
        <v>0</v>
      </c>
      <c r="S105" s="148"/>
      <c r="T105" s="40">
        <f t="shared" si="26"/>
        <v>0</v>
      </c>
    </row>
    <row r="106" spans="1:20" s="77" customFormat="1" ht="25.4" customHeight="1">
      <c r="A106" s="3" t="s">
        <v>274</v>
      </c>
      <c r="B106" s="3" t="s">
        <v>370</v>
      </c>
      <c r="C106" s="3"/>
      <c r="D106" s="26" t="s">
        <v>275</v>
      </c>
      <c r="E106" s="389">
        <f t="shared" ref="E106:P106" si="28">ROUND(E117*1,2)</f>
        <v>1860</v>
      </c>
      <c r="F106" s="389">
        <f t="shared" si="28"/>
        <v>1860</v>
      </c>
      <c r="G106" s="389">
        <f t="shared" si="28"/>
        <v>1860</v>
      </c>
      <c r="H106" s="389">
        <f t="shared" si="28"/>
        <v>1860</v>
      </c>
      <c r="I106" s="389">
        <f t="shared" si="28"/>
        <v>1860</v>
      </c>
      <c r="J106" s="389">
        <f t="shared" si="28"/>
        <v>1860</v>
      </c>
      <c r="K106" s="389">
        <f t="shared" si="28"/>
        <v>1860</v>
      </c>
      <c r="L106" s="389">
        <f t="shared" si="28"/>
        <v>1860</v>
      </c>
      <c r="M106" s="389">
        <f t="shared" si="28"/>
        <v>1860</v>
      </c>
      <c r="N106" s="389">
        <f t="shared" si="28"/>
        <v>1860</v>
      </c>
      <c r="O106" s="389">
        <f t="shared" si="28"/>
        <v>1860</v>
      </c>
      <c r="P106" s="389">
        <f t="shared" si="28"/>
        <v>1860</v>
      </c>
      <c r="Q106" s="61">
        <f t="shared" si="27"/>
        <v>22320</v>
      </c>
      <c r="R106" s="61">
        <f>Q106/$Q$117</f>
        <v>1</v>
      </c>
      <c r="S106" s="148"/>
      <c r="T106" s="40" t="e">
        <f t="shared" si="26"/>
        <v>#DIV/0!</v>
      </c>
    </row>
    <row r="107" spans="1:20" s="77" customFormat="1" ht="25.4" customHeight="1">
      <c r="A107" s="3" t="s">
        <v>455</v>
      </c>
      <c r="B107" s="3" t="s">
        <v>370</v>
      </c>
      <c r="C107" s="3"/>
      <c r="D107" s="26" t="s">
        <v>464</v>
      </c>
      <c r="E107" s="389">
        <f>+STW!E145</f>
        <v>84256.34</v>
      </c>
      <c r="F107" s="389">
        <f>+STW!F145</f>
        <v>108441.43</v>
      </c>
      <c r="G107" s="389">
        <f>+STW!G145</f>
        <v>81672.25</v>
      </c>
      <c r="H107" s="389">
        <f>+STW!H145</f>
        <v>92579.98</v>
      </c>
      <c r="I107" s="389">
        <f>+STW!I145</f>
        <v>85526.35</v>
      </c>
      <c r="J107" s="389">
        <f>+STW!J145</f>
        <v>79879.61</v>
      </c>
      <c r="K107" s="389">
        <f>+STW!K145</f>
        <v>74923.91</v>
      </c>
      <c r="L107" s="389">
        <f>+STW!L145</f>
        <v>81401.070000000007</v>
      </c>
      <c r="M107" s="389">
        <f>+STW!M145</f>
        <v>164874.89000000001</v>
      </c>
      <c r="N107" s="389">
        <f>+STW!N145</f>
        <v>57681.2</v>
      </c>
      <c r="O107" s="389">
        <f>+STW!O145</f>
        <v>61856.82</v>
      </c>
      <c r="P107" s="389">
        <f>+STW!P145</f>
        <v>66506.19</v>
      </c>
      <c r="Q107" s="61">
        <f t="shared" si="27"/>
        <v>1039600.0399999998</v>
      </c>
      <c r="R107" s="61">
        <f>Q107/$Q$117</f>
        <v>46.577062724014326</v>
      </c>
      <c r="S107" s="148"/>
      <c r="T107" s="40" t="e">
        <f t="shared" si="26"/>
        <v>#DIV/0!</v>
      </c>
    </row>
    <row r="108" spans="1:20" s="77" customFormat="1" ht="25.4" customHeight="1">
      <c r="A108" s="3"/>
      <c r="B108" s="3"/>
      <c r="C108" s="3"/>
      <c r="D108" s="19" t="s">
        <v>276</v>
      </c>
      <c r="E108" s="151">
        <f>SUM(E39:E107)</f>
        <v>131424.81</v>
      </c>
      <c r="F108" s="151">
        <f t="shared" ref="F108:Q108" si="29">SUM(F39:F107)</f>
        <v>154174.69999999998</v>
      </c>
      <c r="G108" s="151">
        <f t="shared" si="29"/>
        <v>124254.43</v>
      </c>
      <c r="H108" s="151">
        <f t="shared" si="29"/>
        <v>136071.85</v>
      </c>
      <c r="I108" s="151">
        <f t="shared" si="29"/>
        <v>128766.44</v>
      </c>
      <c r="J108" s="151">
        <f t="shared" si="29"/>
        <v>127519.73000000001</v>
      </c>
      <c r="K108" s="151">
        <f t="shared" si="29"/>
        <v>123144.67</v>
      </c>
      <c r="L108" s="151">
        <f t="shared" si="29"/>
        <v>130549.30000000002</v>
      </c>
      <c r="M108" s="151">
        <f t="shared" si="29"/>
        <v>218964.41000000003</v>
      </c>
      <c r="N108" s="151">
        <f t="shared" si="29"/>
        <v>105803.72</v>
      </c>
      <c r="O108" s="151">
        <f t="shared" si="29"/>
        <v>109839.89</v>
      </c>
      <c r="P108" s="151">
        <f t="shared" si="29"/>
        <v>117813.55</v>
      </c>
      <c r="Q108" s="151">
        <f t="shared" si="29"/>
        <v>1608327.4999999998</v>
      </c>
      <c r="R108" s="61">
        <f>Q108/$Q$117</f>
        <v>72.057683691756267</v>
      </c>
      <c r="S108" s="148"/>
      <c r="T108" s="40" t="e">
        <f t="shared" si="26"/>
        <v>#DIV/0!</v>
      </c>
    </row>
    <row r="109" spans="1:20" s="77" customFormat="1" ht="25.4" customHeight="1">
      <c r="A109" s="3"/>
      <c r="B109" s="3"/>
      <c r="C109" s="3"/>
      <c r="D109" s="19" t="s">
        <v>277</v>
      </c>
      <c r="E109" s="151">
        <f t="shared" ref="E109:Q109" si="30">E28-E34-E36-E108</f>
        <v>68960.960000000021</v>
      </c>
      <c r="F109" s="151">
        <f t="shared" si="30"/>
        <v>2246.7900000000081</v>
      </c>
      <c r="G109" s="151">
        <f t="shared" si="30"/>
        <v>134460.15000000002</v>
      </c>
      <c r="H109" s="151">
        <f t="shared" si="30"/>
        <v>81576.060000000027</v>
      </c>
      <c r="I109" s="151">
        <f t="shared" si="30"/>
        <v>135600.34999999998</v>
      </c>
      <c r="J109" s="151">
        <f t="shared" si="30"/>
        <v>88684.860000000015</v>
      </c>
      <c r="K109" s="151">
        <f t="shared" si="30"/>
        <v>72234.930000000037</v>
      </c>
      <c r="L109" s="151">
        <f t="shared" si="30"/>
        <v>42558.459999999934</v>
      </c>
      <c r="M109" s="151">
        <f t="shared" si="30"/>
        <v>135404.5</v>
      </c>
      <c r="N109" s="151">
        <f t="shared" si="30"/>
        <v>116631.70000000004</v>
      </c>
      <c r="O109" s="151">
        <f t="shared" si="30"/>
        <v>144708.56999999995</v>
      </c>
      <c r="P109" s="151">
        <f t="shared" si="30"/>
        <v>132831.48000000004</v>
      </c>
      <c r="Q109" s="151">
        <f t="shared" si="30"/>
        <v>1155898.8099999998</v>
      </c>
      <c r="R109" s="151"/>
      <c r="S109" s="148"/>
      <c r="T109" s="40" t="e">
        <f t="shared" ref="T109:T125" si="31">IF(Q109-S109=0,0,(Q109-S109)/S109)</f>
        <v>#DIV/0!</v>
      </c>
    </row>
    <row r="110" spans="1:20" s="77" customFormat="1" ht="25.4" customHeight="1">
      <c r="A110" s="3"/>
      <c r="B110" s="3"/>
      <c r="C110" s="3"/>
      <c r="D110" s="19" t="s">
        <v>278</v>
      </c>
      <c r="E110" s="129">
        <f t="shared" ref="E110:Q110" si="32">IF(E109=0,0,E109/E28)</f>
        <v>8.9522600377246339E-2</v>
      </c>
      <c r="F110" s="129">
        <f t="shared" si="32"/>
        <v>2.9167007434582402E-3</v>
      </c>
      <c r="G110" s="129">
        <f t="shared" si="32"/>
        <v>0.17455125733624643</v>
      </c>
      <c r="H110" s="129">
        <f t="shared" si="32"/>
        <v>0.10589906259614527</v>
      </c>
      <c r="I110" s="129">
        <f t="shared" si="32"/>
        <v>0.15946997538570817</v>
      </c>
      <c r="J110" s="129">
        <f t="shared" si="32"/>
        <v>0.11512744720044554</v>
      </c>
      <c r="K110" s="129">
        <f t="shared" si="32"/>
        <v>9.377274869242487E-2</v>
      </c>
      <c r="L110" s="129">
        <f t="shared" si="32"/>
        <v>5.5247838882333075E-2</v>
      </c>
      <c r="M110" s="129">
        <f t="shared" si="32"/>
        <v>0.11469621337191425</v>
      </c>
      <c r="N110" s="129">
        <f t="shared" si="32"/>
        <v>0.14748962731686102</v>
      </c>
      <c r="O110" s="129">
        <f t="shared" si="32"/>
        <v>0.18299495813621752</v>
      </c>
      <c r="P110" s="129">
        <f t="shared" si="32"/>
        <v>0.1638319196723152</v>
      </c>
      <c r="Q110" s="129">
        <f t="shared" si="32"/>
        <v>0.11776334484513068</v>
      </c>
      <c r="R110" s="129"/>
      <c r="S110" s="40"/>
      <c r="T110" s="40" t="e">
        <f t="shared" si="31"/>
        <v>#DIV/0!</v>
      </c>
    </row>
    <row r="111" spans="1:20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3"/>
      <c r="S111" s="148"/>
      <c r="T111" s="40"/>
    </row>
    <row r="112" spans="1:20" s="77" customFormat="1" ht="25.4" customHeight="1">
      <c r="A112" s="50" t="s">
        <v>457</v>
      </c>
      <c r="B112" s="3" t="s">
        <v>370</v>
      </c>
      <c r="C112" s="3"/>
      <c r="D112" s="26" t="s">
        <v>440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146">
        <v>0</v>
      </c>
      <c r="O112" s="146">
        <v>0</v>
      </c>
      <c r="P112" s="146">
        <v>0</v>
      </c>
      <c r="Q112" s="162">
        <f>SUM(E112:P112)</f>
        <v>0</v>
      </c>
      <c r="R112" s="162"/>
      <c r="S112" s="148"/>
      <c r="T112" s="40">
        <f t="shared" si="31"/>
        <v>0</v>
      </c>
    </row>
    <row r="113" spans="1:21" s="77" customFormat="1" ht="25.4" customHeight="1">
      <c r="A113" s="3" t="s">
        <v>458</v>
      </c>
      <c r="B113" s="3" t="s">
        <v>370</v>
      </c>
      <c r="C113" s="3"/>
      <c r="D113" s="26" t="s">
        <v>442</v>
      </c>
      <c r="E113" s="63">
        <v>930</v>
      </c>
      <c r="F113" s="63">
        <v>930</v>
      </c>
      <c r="G113" s="63">
        <v>930</v>
      </c>
      <c r="H113" s="63">
        <v>930</v>
      </c>
      <c r="I113" s="63">
        <v>930</v>
      </c>
      <c r="J113" s="63">
        <v>930</v>
      </c>
      <c r="K113" s="63">
        <v>930</v>
      </c>
      <c r="L113" s="63">
        <v>930</v>
      </c>
      <c r="M113" s="63">
        <v>930</v>
      </c>
      <c r="N113" s="146">
        <v>930</v>
      </c>
      <c r="O113" s="146">
        <v>930</v>
      </c>
      <c r="P113" s="146">
        <v>930</v>
      </c>
      <c r="Q113" s="162">
        <f t="shared" ref="Q113:Q116" si="33">SUM(E113:P113)</f>
        <v>11160</v>
      </c>
      <c r="R113" s="162"/>
      <c r="S113" s="148"/>
      <c r="T113" s="40" t="e">
        <f t="shared" si="31"/>
        <v>#DIV/0!</v>
      </c>
    </row>
    <row r="114" spans="1:21" s="77" customFormat="1" ht="25.4" customHeight="1">
      <c r="A114" s="3" t="s">
        <v>459</v>
      </c>
      <c r="B114" s="3" t="s">
        <v>370</v>
      </c>
      <c r="C114" s="3"/>
      <c r="D114" s="26" t="s">
        <v>444</v>
      </c>
      <c r="E114" s="63">
        <v>930</v>
      </c>
      <c r="F114" s="63">
        <v>930</v>
      </c>
      <c r="G114" s="63">
        <v>930</v>
      </c>
      <c r="H114" s="63">
        <v>930</v>
      </c>
      <c r="I114" s="63">
        <v>930</v>
      </c>
      <c r="J114" s="63">
        <v>930</v>
      </c>
      <c r="K114" s="63">
        <v>930</v>
      </c>
      <c r="L114" s="63">
        <v>930</v>
      </c>
      <c r="M114" s="63">
        <v>930</v>
      </c>
      <c r="N114" s="63">
        <v>930</v>
      </c>
      <c r="O114" s="63">
        <v>930</v>
      </c>
      <c r="P114" s="63">
        <v>930</v>
      </c>
      <c r="Q114" s="162">
        <f t="shared" si="33"/>
        <v>11160</v>
      </c>
      <c r="R114" s="162"/>
      <c r="S114" s="148"/>
      <c r="T114" s="40" t="e">
        <f t="shared" si="31"/>
        <v>#DIV/0!</v>
      </c>
    </row>
    <row r="115" spans="1:21" s="77" customFormat="1" ht="25.4" customHeight="1">
      <c r="A115" s="3" t="s">
        <v>460</v>
      </c>
      <c r="B115" s="3" t="s">
        <v>370</v>
      </c>
      <c r="C115" s="3"/>
      <c r="D115" s="26" t="s">
        <v>446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146">
        <v>0</v>
      </c>
      <c r="O115" s="146">
        <v>0</v>
      </c>
      <c r="P115" s="146">
        <v>0</v>
      </c>
      <c r="Q115" s="162">
        <f t="shared" si="33"/>
        <v>0</v>
      </c>
      <c r="R115" s="162"/>
      <c r="S115" s="148"/>
      <c r="T115" s="40">
        <f t="shared" si="31"/>
        <v>0</v>
      </c>
    </row>
    <row r="116" spans="1:21" s="77" customFormat="1" ht="25.4" customHeight="1">
      <c r="A116" s="3" t="s">
        <v>461</v>
      </c>
      <c r="B116" s="3" t="s">
        <v>370</v>
      </c>
      <c r="C116" s="3"/>
      <c r="D116" s="26" t="s">
        <v>448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146">
        <v>0</v>
      </c>
      <c r="O116" s="146">
        <v>0</v>
      </c>
      <c r="P116" s="146">
        <v>0</v>
      </c>
      <c r="Q116" s="162">
        <f t="shared" si="33"/>
        <v>0</v>
      </c>
      <c r="R116" s="162"/>
      <c r="S116" s="148"/>
      <c r="T116" s="40">
        <f t="shared" si="31"/>
        <v>0</v>
      </c>
    </row>
    <row r="117" spans="1:21" s="77" customFormat="1" ht="25.4" customHeight="1">
      <c r="A117" s="3"/>
      <c r="B117" s="3"/>
      <c r="C117" s="3"/>
      <c r="D117" s="19" t="s">
        <v>427</v>
      </c>
      <c r="E117" s="160">
        <f>SUM(E112:E116)</f>
        <v>1860</v>
      </c>
      <c r="F117" s="160">
        <f t="shared" ref="F117:P117" si="34">SUM(F112:F116)</f>
        <v>1860</v>
      </c>
      <c r="G117" s="160">
        <f t="shared" si="34"/>
        <v>1860</v>
      </c>
      <c r="H117" s="160">
        <f t="shared" si="34"/>
        <v>1860</v>
      </c>
      <c r="I117" s="160">
        <f t="shared" si="34"/>
        <v>1860</v>
      </c>
      <c r="J117" s="160">
        <f t="shared" si="34"/>
        <v>1860</v>
      </c>
      <c r="K117" s="160">
        <f t="shared" si="34"/>
        <v>1860</v>
      </c>
      <c r="L117" s="160">
        <f t="shared" si="34"/>
        <v>1860</v>
      </c>
      <c r="M117" s="160">
        <f t="shared" si="34"/>
        <v>1860</v>
      </c>
      <c r="N117" s="160">
        <f t="shared" si="34"/>
        <v>1860</v>
      </c>
      <c r="O117" s="160">
        <f t="shared" si="34"/>
        <v>1860</v>
      </c>
      <c r="P117" s="160">
        <f t="shared" si="34"/>
        <v>1860</v>
      </c>
      <c r="Q117" s="320">
        <f t="shared" ref="Q117" si="35">SUM(Q112:Q116)</f>
        <v>22320</v>
      </c>
      <c r="R117" s="160"/>
      <c r="S117" s="148"/>
      <c r="T117" s="40" t="e">
        <f t="shared" si="31"/>
        <v>#DIV/0!</v>
      </c>
    </row>
    <row r="118" spans="1:21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S118" s="148"/>
      <c r="T118" s="40">
        <f t="shared" si="31"/>
        <v>0</v>
      </c>
    </row>
    <row r="119" spans="1:21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3"/>
      <c r="S119" s="148"/>
      <c r="T119" s="40">
        <f t="shared" si="31"/>
        <v>0</v>
      </c>
    </row>
    <row r="120" spans="1:21" s="77" customFormat="1" ht="25.4" customHeight="1">
      <c r="A120" s="3"/>
      <c r="B120" s="3"/>
      <c r="C120" s="3"/>
      <c r="D120" s="26" t="s">
        <v>440</v>
      </c>
      <c r="E120" s="163">
        <f t="shared" ref="E120:Q120" si="36">IF(E112=0,0,ROUND(E12/E112,2))</f>
        <v>0</v>
      </c>
      <c r="F120" s="163">
        <f t="shared" si="36"/>
        <v>0</v>
      </c>
      <c r="G120" s="163">
        <f t="shared" si="36"/>
        <v>0</v>
      </c>
      <c r="H120" s="163">
        <f t="shared" ref="H120:L121" si="37">IF(H112=0,0,ROUND(H12/H112,2))</f>
        <v>0</v>
      </c>
      <c r="I120" s="163">
        <f t="shared" si="37"/>
        <v>0</v>
      </c>
      <c r="J120" s="163">
        <f t="shared" si="37"/>
        <v>0</v>
      </c>
      <c r="K120" s="163">
        <f t="shared" si="37"/>
        <v>0</v>
      </c>
      <c r="L120" s="163">
        <f t="shared" si="37"/>
        <v>0</v>
      </c>
      <c r="M120" s="163">
        <f t="shared" si="36"/>
        <v>0</v>
      </c>
      <c r="N120" s="163">
        <f t="shared" si="36"/>
        <v>0</v>
      </c>
      <c r="O120" s="163">
        <f t="shared" si="36"/>
        <v>0</v>
      </c>
      <c r="P120" s="163">
        <f t="shared" si="36"/>
        <v>0</v>
      </c>
      <c r="Q120" s="163">
        <f t="shared" si="36"/>
        <v>0</v>
      </c>
      <c r="R120" s="163"/>
      <c r="S120" s="148"/>
      <c r="T120" s="40">
        <f t="shared" si="31"/>
        <v>0</v>
      </c>
    </row>
    <row r="121" spans="1:21" s="77" customFormat="1" ht="25.4" customHeight="1">
      <c r="A121" s="3"/>
      <c r="B121" s="3"/>
      <c r="C121" s="3"/>
      <c r="D121" s="26" t="s">
        <v>442</v>
      </c>
      <c r="E121" s="61">
        <f t="shared" ref="E121:Q121" si="38">IF(E113=0,0,ROUND(E13/E113,2))</f>
        <v>240</v>
      </c>
      <c r="F121" s="61">
        <f t="shared" si="38"/>
        <v>240</v>
      </c>
      <c r="G121" s="61">
        <f t="shared" si="38"/>
        <v>240</v>
      </c>
      <c r="H121" s="61">
        <f t="shared" si="37"/>
        <v>240</v>
      </c>
      <c r="I121" s="61">
        <f t="shared" si="37"/>
        <v>240</v>
      </c>
      <c r="J121" s="61">
        <f t="shared" si="37"/>
        <v>240</v>
      </c>
      <c r="K121" s="61">
        <f t="shared" si="37"/>
        <v>240</v>
      </c>
      <c r="L121" s="61">
        <f t="shared" si="37"/>
        <v>240</v>
      </c>
      <c r="M121" s="61">
        <f t="shared" si="38"/>
        <v>250</v>
      </c>
      <c r="N121" s="61">
        <f t="shared" si="38"/>
        <v>250</v>
      </c>
      <c r="O121" s="61">
        <f t="shared" si="38"/>
        <v>250</v>
      </c>
      <c r="P121" s="61">
        <f t="shared" si="38"/>
        <v>250</v>
      </c>
      <c r="Q121" s="61">
        <f t="shared" si="38"/>
        <v>243.33</v>
      </c>
      <c r="R121" s="163"/>
      <c r="S121" s="148"/>
      <c r="T121" s="40" t="e">
        <f t="shared" si="31"/>
        <v>#DIV/0!</v>
      </c>
    </row>
    <row r="122" spans="1:21" s="77" customFormat="1" ht="25.4" customHeight="1">
      <c r="A122" s="3"/>
      <c r="B122" s="3"/>
      <c r="C122" s="3"/>
      <c r="D122" s="26" t="s">
        <v>446</v>
      </c>
      <c r="E122" s="61">
        <f t="shared" ref="E122:Q122" si="39">IF(E115=0,0,ROUND(E15/E115,2))</f>
        <v>0</v>
      </c>
      <c r="F122" s="61">
        <f t="shared" si="39"/>
        <v>0</v>
      </c>
      <c r="G122" s="61">
        <f t="shared" si="39"/>
        <v>0</v>
      </c>
      <c r="H122" s="61">
        <f t="shared" si="39"/>
        <v>0</v>
      </c>
      <c r="I122" s="61">
        <f t="shared" si="39"/>
        <v>0</v>
      </c>
      <c r="J122" s="61">
        <f t="shared" si="39"/>
        <v>0</v>
      </c>
      <c r="K122" s="61">
        <f t="shared" si="39"/>
        <v>0</v>
      </c>
      <c r="L122" s="61">
        <f t="shared" si="39"/>
        <v>0</v>
      </c>
      <c r="M122" s="61">
        <f t="shared" si="39"/>
        <v>0</v>
      </c>
      <c r="N122" s="61">
        <f t="shared" si="39"/>
        <v>0</v>
      </c>
      <c r="O122" s="61">
        <f t="shared" si="39"/>
        <v>0</v>
      </c>
      <c r="P122" s="61">
        <f t="shared" si="39"/>
        <v>0</v>
      </c>
      <c r="Q122" s="61">
        <f t="shared" si="39"/>
        <v>0</v>
      </c>
      <c r="R122" s="163"/>
      <c r="S122" s="148"/>
      <c r="T122" s="40">
        <f t="shared" si="31"/>
        <v>0</v>
      </c>
    </row>
    <row r="123" spans="1:21" s="77" customFormat="1" ht="25.4" customHeight="1">
      <c r="A123" s="3"/>
      <c r="B123" s="3"/>
      <c r="C123" s="3"/>
      <c r="D123" s="26" t="s">
        <v>444</v>
      </c>
      <c r="E123" s="61">
        <f t="shared" ref="E123:Q123" si="40">IF(E114=0,0,ROUND(E14/E114,2))</f>
        <v>490</v>
      </c>
      <c r="F123" s="61">
        <f t="shared" si="40"/>
        <v>490</v>
      </c>
      <c r="G123" s="61">
        <f t="shared" si="40"/>
        <v>490</v>
      </c>
      <c r="H123" s="61">
        <f t="shared" si="40"/>
        <v>490</v>
      </c>
      <c r="I123" s="61">
        <f t="shared" si="40"/>
        <v>490</v>
      </c>
      <c r="J123" s="61">
        <f t="shared" si="40"/>
        <v>490</v>
      </c>
      <c r="K123" s="61">
        <f t="shared" si="40"/>
        <v>490</v>
      </c>
      <c r="L123" s="61">
        <f t="shared" si="40"/>
        <v>490</v>
      </c>
      <c r="M123" s="61">
        <f t="shared" si="40"/>
        <v>490</v>
      </c>
      <c r="N123" s="61">
        <f t="shared" si="40"/>
        <v>500</v>
      </c>
      <c r="O123" s="61">
        <f t="shared" si="40"/>
        <v>500</v>
      </c>
      <c r="P123" s="61">
        <f t="shared" si="40"/>
        <v>500</v>
      </c>
      <c r="Q123" s="61">
        <f t="shared" si="40"/>
        <v>492.5</v>
      </c>
      <c r="R123" s="163"/>
      <c r="S123" s="148"/>
      <c r="T123" s="40" t="e">
        <f t="shared" si="31"/>
        <v>#DIV/0!</v>
      </c>
    </row>
    <row r="124" spans="1:21" s="77" customFormat="1" ht="25.4" customHeight="1">
      <c r="A124" s="3"/>
      <c r="B124" s="3"/>
      <c r="C124" s="3"/>
      <c r="D124" s="26" t="s">
        <v>448</v>
      </c>
      <c r="E124" s="61">
        <f t="shared" ref="E124:Q124" si="41">IF(E116=0,0,ROUND(E16/E116,2))</f>
        <v>0</v>
      </c>
      <c r="F124" s="61">
        <f t="shared" si="41"/>
        <v>0</v>
      </c>
      <c r="G124" s="61">
        <f t="shared" si="41"/>
        <v>0</v>
      </c>
      <c r="H124" s="61">
        <f t="shared" si="41"/>
        <v>0</v>
      </c>
      <c r="I124" s="61">
        <f t="shared" si="41"/>
        <v>0</v>
      </c>
      <c r="J124" s="61">
        <f t="shared" si="41"/>
        <v>0</v>
      </c>
      <c r="K124" s="61">
        <f t="shared" si="41"/>
        <v>0</v>
      </c>
      <c r="L124" s="61">
        <f t="shared" ref="L124:Q125" si="42">IF(L116=0,0,ROUND(L16/L116,2))</f>
        <v>0</v>
      </c>
      <c r="M124" s="61">
        <f t="shared" si="41"/>
        <v>0</v>
      </c>
      <c r="N124" s="61">
        <f t="shared" si="41"/>
        <v>0</v>
      </c>
      <c r="O124" s="61">
        <f t="shared" si="41"/>
        <v>0</v>
      </c>
      <c r="P124" s="61">
        <f t="shared" si="41"/>
        <v>0</v>
      </c>
      <c r="Q124" s="61">
        <f t="shared" si="41"/>
        <v>0</v>
      </c>
      <c r="R124" s="163"/>
      <c r="S124" s="148"/>
      <c r="T124" s="40">
        <f t="shared" si="31"/>
        <v>0</v>
      </c>
    </row>
    <row r="125" spans="1:21" s="77" customFormat="1" ht="25.4" customHeight="1">
      <c r="A125" s="3"/>
      <c r="B125" s="3"/>
      <c r="C125" s="3"/>
      <c r="D125" s="19" t="s">
        <v>429</v>
      </c>
      <c r="E125" s="161">
        <f>IF(E117=0,0,ROUND(E17/E117,2))</f>
        <v>365</v>
      </c>
      <c r="F125" s="161">
        <f t="shared" ref="F125:K125" si="43">IF(F117=0,0,ROUND(F17/F117,2))</f>
        <v>365</v>
      </c>
      <c r="G125" s="161">
        <f t="shared" si="43"/>
        <v>365</v>
      </c>
      <c r="H125" s="161">
        <f t="shared" si="43"/>
        <v>365</v>
      </c>
      <c r="I125" s="161">
        <f t="shared" si="43"/>
        <v>365</v>
      </c>
      <c r="J125" s="161">
        <f t="shared" si="43"/>
        <v>365</v>
      </c>
      <c r="K125" s="161">
        <f t="shared" si="43"/>
        <v>365</v>
      </c>
      <c r="L125" s="161">
        <f t="shared" si="42"/>
        <v>365</v>
      </c>
      <c r="M125" s="161">
        <f t="shared" si="42"/>
        <v>370</v>
      </c>
      <c r="N125" s="161">
        <f t="shared" si="42"/>
        <v>375</v>
      </c>
      <c r="O125" s="161">
        <f t="shared" si="42"/>
        <v>375</v>
      </c>
      <c r="P125" s="161">
        <f t="shared" si="42"/>
        <v>375</v>
      </c>
      <c r="Q125" s="321">
        <f t="shared" si="42"/>
        <v>367.92</v>
      </c>
      <c r="R125" s="164"/>
      <c r="S125" s="148"/>
      <c r="T125" s="40" t="e">
        <f t="shared" si="31"/>
        <v>#DIV/0!</v>
      </c>
    </row>
    <row r="126" spans="1:21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S126" s="148"/>
      <c r="T126" s="40"/>
    </row>
    <row r="127" spans="1:21" s="77" customFormat="1" ht="25.4" customHeight="1">
      <c r="A127" s="3"/>
      <c r="B127" s="3"/>
      <c r="C127" s="3"/>
      <c r="D127" s="19" t="s">
        <v>430</v>
      </c>
      <c r="E127" s="151">
        <f>IF(E117=0,0,ROUND((E34+E36+E108)/E117,2))</f>
        <v>377.07</v>
      </c>
      <c r="F127" s="151">
        <f t="shared" ref="F127:Q127" si="44">IF(F117=0,0,ROUND((F34+F36+F108)/F117,2))</f>
        <v>412.94</v>
      </c>
      <c r="G127" s="151">
        <f t="shared" si="44"/>
        <v>341.86</v>
      </c>
      <c r="H127" s="151">
        <f t="shared" si="44"/>
        <v>370.29</v>
      </c>
      <c r="I127" s="151">
        <f t="shared" si="44"/>
        <v>384.26</v>
      </c>
      <c r="J127" s="151">
        <f t="shared" si="44"/>
        <v>366.47</v>
      </c>
      <c r="K127" s="151">
        <f t="shared" si="44"/>
        <v>375.31</v>
      </c>
      <c r="L127" s="151">
        <f t="shared" si="44"/>
        <v>391.27</v>
      </c>
      <c r="M127" s="151">
        <f t="shared" si="44"/>
        <v>561.91</v>
      </c>
      <c r="N127" s="151">
        <f t="shared" si="44"/>
        <v>362.44</v>
      </c>
      <c r="O127" s="151">
        <f t="shared" si="44"/>
        <v>347.35</v>
      </c>
      <c r="P127" s="151">
        <f t="shared" si="44"/>
        <v>364.49</v>
      </c>
      <c r="Q127" s="151">
        <f t="shared" si="44"/>
        <v>387.97</v>
      </c>
      <c r="R127" s="151"/>
      <c r="S127" s="148"/>
      <c r="T127" s="40" t="e">
        <f>-IF(Q127-S127=0,0,(Q127-S127)/S127)</f>
        <v>#DIV/0!</v>
      </c>
      <c r="U127" s="319"/>
    </row>
    <row r="128" spans="1:21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S128" s="148"/>
      <c r="T128" s="40"/>
    </row>
    <row r="129" spans="1:20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3"/>
      <c r="S129" s="148"/>
      <c r="T129" s="40"/>
    </row>
    <row r="130" spans="1:20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3"/>
      <c r="S130" s="148"/>
      <c r="T130" s="40"/>
    </row>
    <row r="131" spans="1:20" s="77" customFormat="1" ht="25.4" customHeight="1">
      <c r="A131" s="3" t="s">
        <v>297</v>
      </c>
      <c r="B131" s="3" t="s">
        <v>370</v>
      </c>
      <c r="C131" s="3"/>
      <c r="D131" s="3" t="s">
        <v>299</v>
      </c>
      <c r="E131" s="134">
        <v>17808.61</v>
      </c>
      <c r="F131" s="134">
        <v>28443.94</v>
      </c>
      <c r="G131" s="134">
        <v>15234</v>
      </c>
      <c r="H131" s="134">
        <v>18554.25</v>
      </c>
      <c r="I131" s="134">
        <v>15322.29</v>
      </c>
      <c r="J131" s="134">
        <v>16593.34</v>
      </c>
      <c r="K131" s="134">
        <v>17575.330000000002</v>
      </c>
      <c r="L131" s="134">
        <v>19927.79</v>
      </c>
      <c r="M131" s="134">
        <v>25985.5</v>
      </c>
      <c r="N131" s="134">
        <v>11089.74</v>
      </c>
      <c r="O131" s="134">
        <v>12360.01</v>
      </c>
      <c r="P131" s="134">
        <v>13796.58</v>
      </c>
      <c r="Q131" s="134">
        <f>SUM(E131:P131)</f>
        <v>212691.37999999998</v>
      </c>
      <c r="R131" s="134">
        <f>Q131/$Q$117</f>
        <v>9.5291836917562716</v>
      </c>
      <c r="S131" s="148"/>
      <c r="T131" s="40" t="e">
        <f>-IF(Q131-S131=0,0,(Q131-S131)/S131)</f>
        <v>#DIV/0!</v>
      </c>
    </row>
    <row r="132" spans="1:20" s="77" customFormat="1" ht="25.4" customHeight="1">
      <c r="A132" s="50" t="s">
        <v>300</v>
      </c>
      <c r="B132" s="3" t="s">
        <v>370</v>
      </c>
      <c r="C132" s="3"/>
      <c r="D132" s="3" t="s">
        <v>434</v>
      </c>
      <c r="E132" s="61">
        <v>78571.61</v>
      </c>
      <c r="F132" s="61">
        <v>125494.67</v>
      </c>
      <c r="G132" s="61">
        <v>67212.39</v>
      </c>
      <c r="H132" s="61">
        <v>81861.350000000006</v>
      </c>
      <c r="I132" s="61">
        <v>80166.22</v>
      </c>
      <c r="J132" s="61">
        <v>86816.37</v>
      </c>
      <c r="K132" s="61">
        <v>91954.15</v>
      </c>
      <c r="L132" s="61">
        <v>104262.21</v>
      </c>
      <c r="M132" s="61">
        <v>141153.24</v>
      </c>
      <c r="N132" s="61">
        <v>60239.44</v>
      </c>
      <c r="O132" s="61">
        <v>67139.570000000007</v>
      </c>
      <c r="P132" s="61">
        <v>76184.73</v>
      </c>
      <c r="Q132" s="134">
        <f>SUM(E132:P132)</f>
        <v>1061055.95</v>
      </c>
      <c r="R132" s="134">
        <f>Q132/$Q$117</f>
        <v>47.538349014336916</v>
      </c>
      <c r="S132" s="148"/>
      <c r="T132" s="40" t="e">
        <f t="shared" ref="T132:T165" si="45">-IF(Q132-S132=0,0,(Q132-S132)/S132)</f>
        <v>#DIV/0!</v>
      </c>
    </row>
    <row r="133" spans="1:20" s="77" customFormat="1" ht="25.4" customHeight="1">
      <c r="A133" s="50" t="s">
        <v>300</v>
      </c>
      <c r="B133" s="3" t="s">
        <v>370</v>
      </c>
      <c r="C133" s="3"/>
      <c r="D133" s="3" t="s">
        <v>436</v>
      </c>
      <c r="E133" s="61">
        <v>79500</v>
      </c>
      <c r="F133" s="61">
        <v>79500</v>
      </c>
      <c r="G133" s="61">
        <v>84000</v>
      </c>
      <c r="H133" s="61">
        <v>84000</v>
      </c>
      <c r="I133" s="61">
        <v>84000</v>
      </c>
      <c r="J133" s="61">
        <v>91600</v>
      </c>
      <c r="K133" s="61">
        <v>99600</v>
      </c>
      <c r="L133" s="61">
        <v>99600</v>
      </c>
      <c r="M133" s="61">
        <v>99600</v>
      </c>
      <c r="N133" s="61">
        <v>99600</v>
      </c>
      <c r="O133" s="61">
        <v>99600</v>
      </c>
      <c r="P133" s="61">
        <v>99600</v>
      </c>
      <c r="Q133" s="134">
        <f t="shared" ref="Q133" si="46">SUM(E133:P133)</f>
        <v>1100200</v>
      </c>
      <c r="R133" s="134">
        <f>Q133/$Q$117</f>
        <v>49.292114695340501</v>
      </c>
      <c r="S133" s="148"/>
      <c r="T133" s="40" t="e">
        <f t="shared" si="45"/>
        <v>#DIV/0!</v>
      </c>
    </row>
    <row r="134" spans="1:20" s="77" customFormat="1" ht="25.4" customHeight="1">
      <c r="A134" s="3"/>
      <c r="B134" s="3"/>
      <c r="C134" s="3"/>
      <c r="D134" s="19" t="s">
        <v>437</v>
      </c>
      <c r="E134" s="151">
        <f>SUM(E131:E133)</f>
        <v>175880.22</v>
      </c>
      <c r="F134" s="151">
        <f t="shared" ref="F134:P134" si="47">SUM(F131:F133)</f>
        <v>233438.61</v>
      </c>
      <c r="G134" s="151">
        <f t="shared" si="47"/>
        <v>166446.39000000001</v>
      </c>
      <c r="H134" s="151">
        <f t="shared" si="47"/>
        <v>184415.6</v>
      </c>
      <c r="I134" s="151">
        <f t="shared" si="47"/>
        <v>179488.51</v>
      </c>
      <c r="J134" s="151">
        <f t="shared" si="47"/>
        <v>195009.71</v>
      </c>
      <c r="K134" s="151">
        <f t="shared" si="47"/>
        <v>209129.47999999998</v>
      </c>
      <c r="L134" s="151">
        <f t="shared" si="47"/>
        <v>223790</v>
      </c>
      <c r="M134" s="151">
        <f t="shared" si="47"/>
        <v>266738.74</v>
      </c>
      <c r="N134" s="151">
        <f t="shared" si="47"/>
        <v>170929.18</v>
      </c>
      <c r="O134" s="151">
        <f t="shared" si="47"/>
        <v>179099.58000000002</v>
      </c>
      <c r="P134" s="151">
        <f t="shared" si="47"/>
        <v>189581.31</v>
      </c>
      <c r="Q134" s="151">
        <f t="shared" ref="Q134" si="48">SUM(Q131:Q133)</f>
        <v>2373947.33</v>
      </c>
      <c r="R134" s="134">
        <f>Q134/$Q$117</f>
        <v>106.35964740143369</v>
      </c>
      <c r="S134" s="148"/>
      <c r="T134" s="40" t="e">
        <f t="shared" si="45"/>
        <v>#DIV/0!</v>
      </c>
    </row>
    <row r="135" spans="1:20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S135" s="148"/>
      <c r="T135" s="40"/>
    </row>
    <row r="136" spans="1:20" s="77" customFormat="1" ht="25.4" customHeight="1">
      <c r="A136" s="3" t="s">
        <v>308</v>
      </c>
      <c r="B136" s="3" t="s">
        <v>370</v>
      </c>
      <c r="C136" s="3"/>
      <c r="D136" s="26" t="s">
        <v>309</v>
      </c>
      <c r="E136" s="61">
        <v>43606</v>
      </c>
      <c r="F136" s="61">
        <v>0</v>
      </c>
      <c r="G136" s="61">
        <v>0</v>
      </c>
      <c r="H136" s="61">
        <v>13726.46</v>
      </c>
      <c r="I136" s="61">
        <v>22643.590000000004</v>
      </c>
      <c r="J136" s="61">
        <v>0</v>
      </c>
      <c r="K136" s="61">
        <v>0</v>
      </c>
      <c r="L136" s="61">
        <v>0</v>
      </c>
      <c r="M136" s="61">
        <v>0</v>
      </c>
      <c r="N136" s="61">
        <v>44093.680000000008</v>
      </c>
      <c r="O136" s="61">
        <v>0</v>
      </c>
      <c r="P136" s="61">
        <v>0</v>
      </c>
      <c r="Q136" s="134">
        <f>SUM(E136:P136)</f>
        <v>124069.73000000001</v>
      </c>
      <c r="R136" s="134">
        <f t="shared" ref="R136:R143" si="49">Q136/$Q$117</f>
        <v>5.5586796594982086</v>
      </c>
      <c r="S136" s="148"/>
      <c r="T136" s="40" t="e">
        <f t="shared" si="45"/>
        <v>#DIV/0!</v>
      </c>
    </row>
    <row r="137" spans="1:20" s="77" customFormat="1" ht="25.4" customHeight="1">
      <c r="A137" s="3" t="s">
        <v>310</v>
      </c>
      <c r="B137" s="3" t="s">
        <v>370</v>
      </c>
      <c r="C137" s="3"/>
      <c r="D137" s="26" t="s">
        <v>311</v>
      </c>
      <c r="E137" s="61">
        <v>2198.5</v>
      </c>
      <c r="F137" s="61">
        <v>2917.98</v>
      </c>
      <c r="G137" s="61">
        <v>2080.58</v>
      </c>
      <c r="H137" s="61">
        <v>2305.19</v>
      </c>
      <c r="I137" s="61">
        <v>2243.6099999999997</v>
      </c>
      <c r="J137" s="61">
        <v>2437.62</v>
      </c>
      <c r="K137" s="61">
        <v>2614.12</v>
      </c>
      <c r="L137" s="61">
        <v>2797.37</v>
      </c>
      <c r="M137" s="61">
        <v>3334.23</v>
      </c>
      <c r="N137" s="61">
        <v>2136.61</v>
      </c>
      <c r="O137" s="61">
        <v>2238.7399999999998</v>
      </c>
      <c r="P137" s="61">
        <v>2369.77</v>
      </c>
      <c r="Q137" s="134">
        <f t="shared" ref="Q137:Q140" si="50">SUM(E137:P137)</f>
        <v>29674.319999999996</v>
      </c>
      <c r="R137" s="134">
        <f t="shared" si="49"/>
        <v>1.3294946236559138</v>
      </c>
      <c r="S137" s="148"/>
      <c r="T137" s="40" t="e">
        <f t="shared" si="45"/>
        <v>#DIV/0!</v>
      </c>
    </row>
    <row r="138" spans="1:20" s="77" customFormat="1" ht="25.4" customHeight="1">
      <c r="A138" s="3" t="s">
        <v>312</v>
      </c>
      <c r="B138" s="3" t="s">
        <v>370</v>
      </c>
      <c r="C138" s="3"/>
      <c r="D138" s="26" t="s">
        <v>313</v>
      </c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134">
        <f t="shared" si="50"/>
        <v>0</v>
      </c>
      <c r="R138" s="134">
        <f t="shared" si="49"/>
        <v>0</v>
      </c>
      <c r="S138" s="148"/>
      <c r="T138" s="40">
        <f t="shared" si="45"/>
        <v>0</v>
      </c>
    </row>
    <row r="139" spans="1:20" s="77" customFormat="1" ht="25.4" customHeight="1">
      <c r="A139" s="3" t="s">
        <v>314</v>
      </c>
      <c r="B139" s="3" t="s">
        <v>370</v>
      </c>
      <c r="C139" s="3"/>
      <c r="D139" s="26" t="s">
        <v>315</v>
      </c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134">
        <f t="shared" si="50"/>
        <v>0</v>
      </c>
      <c r="R139" s="134">
        <f t="shared" si="49"/>
        <v>0</v>
      </c>
      <c r="S139" s="148"/>
      <c r="T139" s="40">
        <f t="shared" si="45"/>
        <v>0</v>
      </c>
    </row>
    <row r="140" spans="1:20" s="77" customFormat="1" ht="25.4" customHeight="1">
      <c r="A140" s="3" t="s">
        <v>316</v>
      </c>
      <c r="B140" s="3" t="s">
        <v>370</v>
      </c>
      <c r="C140" s="3"/>
      <c r="D140" s="26" t="s">
        <v>317</v>
      </c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134">
        <f t="shared" si="50"/>
        <v>0</v>
      </c>
      <c r="R140" s="134">
        <f t="shared" si="49"/>
        <v>0</v>
      </c>
      <c r="S140" s="148"/>
      <c r="T140" s="40">
        <f t="shared" si="45"/>
        <v>0</v>
      </c>
    </row>
    <row r="141" spans="1:20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:Q142" si="51">SUM(E141:P141)</f>
        <v>0</v>
      </c>
      <c r="R141" s="134">
        <f t="shared" si="49"/>
        <v>0</v>
      </c>
      <c r="S141" s="148"/>
      <c r="T141" s="40"/>
    </row>
    <row r="142" spans="1:20" s="77" customFormat="1" ht="25.4" customHeight="1">
      <c r="A142" s="3" t="s">
        <v>1066</v>
      </c>
      <c r="B142" s="3" t="s">
        <v>368</v>
      </c>
      <c r="C142" s="3"/>
      <c r="D142" s="26" t="s">
        <v>1206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51"/>
        <v>0</v>
      </c>
      <c r="R142" s="134">
        <f t="shared" si="49"/>
        <v>0</v>
      </c>
      <c r="S142" s="148"/>
      <c r="T142" s="40"/>
    </row>
    <row r="143" spans="1:20" s="77" customFormat="1" ht="25.4" customHeight="1">
      <c r="A143" s="3"/>
      <c r="B143" s="3"/>
      <c r="C143" s="3"/>
      <c r="D143" s="19" t="s">
        <v>318</v>
      </c>
      <c r="E143" s="151">
        <f>SUM(E136:E142)</f>
        <v>45804.5</v>
      </c>
      <c r="F143" s="151">
        <f t="shared" ref="F143:P143" si="52">SUM(F136:F142)</f>
        <v>2917.98</v>
      </c>
      <c r="G143" s="151">
        <f t="shared" si="52"/>
        <v>2080.58</v>
      </c>
      <c r="H143" s="151">
        <f t="shared" si="52"/>
        <v>16031.65</v>
      </c>
      <c r="I143" s="151">
        <f t="shared" si="52"/>
        <v>24887.200000000004</v>
      </c>
      <c r="J143" s="151">
        <f t="shared" si="52"/>
        <v>2437.62</v>
      </c>
      <c r="K143" s="151">
        <f t="shared" si="52"/>
        <v>2614.12</v>
      </c>
      <c r="L143" s="151">
        <f t="shared" si="52"/>
        <v>2797.37</v>
      </c>
      <c r="M143" s="151">
        <f t="shared" si="52"/>
        <v>3334.23</v>
      </c>
      <c r="N143" s="151">
        <f t="shared" si="52"/>
        <v>46230.290000000008</v>
      </c>
      <c r="O143" s="151">
        <f t="shared" si="52"/>
        <v>2238.7399999999998</v>
      </c>
      <c r="P143" s="151">
        <f t="shared" si="52"/>
        <v>2369.77</v>
      </c>
      <c r="Q143" s="151">
        <f t="shared" ref="Q143" si="53">SUM(Q136:Q140)</f>
        <v>153744.05000000002</v>
      </c>
      <c r="R143" s="134">
        <f t="shared" si="49"/>
        <v>6.8881742831541226</v>
      </c>
      <c r="S143" s="148"/>
      <c r="T143" s="40" t="e">
        <f t="shared" si="45"/>
        <v>#DIV/0!</v>
      </c>
    </row>
    <row r="144" spans="1:20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S144" s="148"/>
      <c r="T144" s="40"/>
    </row>
    <row r="145" spans="1:20" s="77" customFormat="1" ht="25.4" customHeight="1">
      <c r="A145" s="3" t="s">
        <v>319</v>
      </c>
      <c r="B145" s="3" t="s">
        <v>370</v>
      </c>
      <c r="C145" s="3"/>
      <c r="D145" s="26" t="s">
        <v>320</v>
      </c>
      <c r="E145" s="61">
        <v>22375.599999999999</v>
      </c>
      <c r="F145" s="61">
        <v>30159.629999999997</v>
      </c>
      <c r="G145" s="61">
        <v>21173.119999999999</v>
      </c>
      <c r="H145" s="61">
        <v>23603.23</v>
      </c>
      <c r="I145" s="61">
        <v>23128.73</v>
      </c>
      <c r="J145" s="61">
        <v>25355.879999999997</v>
      </c>
      <c r="K145" s="61">
        <v>27395.8</v>
      </c>
      <c r="L145" s="61">
        <v>29407.899999999998</v>
      </c>
      <c r="M145" s="61">
        <v>35372.32</v>
      </c>
      <c r="N145" s="61">
        <v>22182.769999999997</v>
      </c>
      <c r="O145" s="61">
        <v>23307.54</v>
      </c>
      <c r="P145" s="61">
        <v>24767.72</v>
      </c>
      <c r="Q145" s="134">
        <f>SUM(E145:P145)</f>
        <v>308230.24</v>
      </c>
      <c r="R145" s="134">
        <f t="shared" ref="R145:R153" si="54">Q145/$Q$117</f>
        <v>13.809598566308244</v>
      </c>
      <c r="S145" s="148"/>
      <c r="T145" s="40" t="e">
        <f t="shared" si="45"/>
        <v>#DIV/0!</v>
      </c>
    </row>
    <row r="146" spans="1:20" s="77" customFormat="1" ht="25.4" customHeight="1">
      <c r="A146" s="3" t="s">
        <v>321</v>
      </c>
      <c r="B146" s="3" t="s">
        <v>370</v>
      </c>
      <c r="C146" s="3"/>
      <c r="D146" s="26" t="s">
        <v>322</v>
      </c>
      <c r="E146" s="61">
        <v>8784.5</v>
      </c>
      <c r="F146" s="61">
        <v>11826.939999999999</v>
      </c>
      <c r="G146" s="61">
        <v>8317.98</v>
      </c>
      <c r="H146" s="61">
        <v>9267.7999999999993</v>
      </c>
      <c r="I146" s="61">
        <v>9097.09</v>
      </c>
      <c r="J146" s="61">
        <v>9979.24</v>
      </c>
      <c r="K146" s="61">
        <v>10788.470000000001</v>
      </c>
      <c r="L146" s="61">
        <v>11577.17</v>
      </c>
      <c r="M146" s="61">
        <v>13919.96</v>
      </c>
      <c r="N146" s="61">
        <v>8747.119999999999</v>
      </c>
      <c r="O146" s="61">
        <v>9188.25</v>
      </c>
      <c r="P146" s="61">
        <v>9761.630000000001</v>
      </c>
      <c r="Q146" s="134">
        <f t="shared" ref="Q146:Q152" si="55">SUM(E146:P146)</f>
        <v>121256.15</v>
      </c>
      <c r="R146" s="134">
        <f t="shared" si="54"/>
        <v>5.4326232078853041</v>
      </c>
      <c r="S146" s="148"/>
      <c r="T146" s="40" t="e">
        <f t="shared" si="45"/>
        <v>#DIV/0!</v>
      </c>
    </row>
    <row r="147" spans="1:20" s="77" customFormat="1" ht="25.4" customHeight="1">
      <c r="A147" s="3" t="s">
        <v>323</v>
      </c>
      <c r="B147" s="3" t="s">
        <v>370</v>
      </c>
      <c r="C147" s="3"/>
      <c r="D147" s="26" t="s">
        <v>324</v>
      </c>
      <c r="E147" s="61">
        <v>1186.1100000000001</v>
      </c>
      <c r="F147" s="61">
        <v>1600.63</v>
      </c>
      <c r="G147" s="61">
        <v>1121.76</v>
      </c>
      <c r="H147" s="61">
        <v>1251.17</v>
      </c>
      <c r="I147" s="61">
        <v>1225.72</v>
      </c>
      <c r="J147" s="61">
        <v>1344.3899999999999</v>
      </c>
      <c r="K147" s="61">
        <v>1453.11</v>
      </c>
      <c r="L147" s="61">
        <v>1560.23</v>
      </c>
      <c r="M147" s="61">
        <v>1877.6499999999999</v>
      </c>
      <c r="N147" s="61">
        <v>1175.53</v>
      </c>
      <c r="O147" s="61">
        <v>1235.4000000000001</v>
      </c>
      <c r="P147" s="61">
        <v>1313.05</v>
      </c>
      <c r="Q147" s="134">
        <f t="shared" si="55"/>
        <v>16344.75</v>
      </c>
      <c r="R147" s="134">
        <f t="shared" si="54"/>
        <v>0.73229166666666667</v>
      </c>
      <c r="S147" s="148"/>
      <c r="T147" s="40" t="e">
        <f t="shared" si="45"/>
        <v>#DIV/0!</v>
      </c>
    </row>
    <row r="148" spans="1:20" s="77" customFormat="1" ht="25.4" customHeight="1">
      <c r="A148" s="3" t="s">
        <v>325</v>
      </c>
      <c r="B148" s="3" t="s">
        <v>370</v>
      </c>
      <c r="C148" s="3"/>
      <c r="D148" s="26" t="s">
        <v>326</v>
      </c>
      <c r="E148" s="61">
        <v>593.04999999999995</v>
      </c>
      <c r="F148" s="61">
        <v>800.32</v>
      </c>
      <c r="G148" s="61">
        <v>560.88</v>
      </c>
      <c r="H148" s="61">
        <v>625.58999999999992</v>
      </c>
      <c r="I148" s="61">
        <v>612.86</v>
      </c>
      <c r="J148" s="61">
        <v>672.2</v>
      </c>
      <c r="K148" s="61">
        <v>726.56</v>
      </c>
      <c r="L148" s="61">
        <v>780.12</v>
      </c>
      <c r="M148" s="61">
        <v>938.82999999999993</v>
      </c>
      <c r="N148" s="61">
        <v>587.76</v>
      </c>
      <c r="O148" s="61">
        <v>617.70000000000005</v>
      </c>
      <c r="P148" s="61">
        <v>656.52</v>
      </c>
      <c r="Q148" s="134">
        <f t="shared" si="55"/>
        <v>8172.3900000000012</v>
      </c>
      <c r="R148" s="134">
        <f t="shared" si="54"/>
        <v>0.36614650537634413</v>
      </c>
      <c r="S148" s="148"/>
      <c r="T148" s="40" t="e">
        <f t="shared" si="45"/>
        <v>#DIV/0!</v>
      </c>
    </row>
    <row r="149" spans="1:20" s="77" customFormat="1" ht="25.4" customHeight="1">
      <c r="A149" s="3" t="s">
        <v>327</v>
      </c>
      <c r="B149" s="3" t="s">
        <v>370</v>
      </c>
      <c r="C149" s="3"/>
      <c r="D149" s="26" t="s">
        <v>328</v>
      </c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134">
        <f t="shared" si="55"/>
        <v>0</v>
      </c>
      <c r="R149" s="134">
        <f t="shared" si="54"/>
        <v>0</v>
      </c>
      <c r="S149" s="148"/>
      <c r="T149" s="40">
        <f t="shared" si="45"/>
        <v>0</v>
      </c>
    </row>
    <row r="150" spans="1:20" s="77" customFormat="1" ht="25.4" customHeight="1">
      <c r="A150" s="3" t="s">
        <v>329</v>
      </c>
      <c r="B150" s="3" t="s">
        <v>370</v>
      </c>
      <c r="C150" s="3"/>
      <c r="D150" s="26" t="s">
        <v>330</v>
      </c>
      <c r="E150" s="61">
        <v>11861.09</v>
      </c>
      <c r="F150" s="61">
        <v>16006.31</v>
      </c>
      <c r="G150" s="61">
        <v>11217.6</v>
      </c>
      <c r="H150" s="61">
        <v>12511.7</v>
      </c>
      <c r="I150" s="61">
        <v>12257.16</v>
      </c>
      <c r="J150" s="61">
        <v>13443.939999999999</v>
      </c>
      <c r="K150" s="61">
        <v>14531.1</v>
      </c>
      <c r="L150" s="61">
        <v>15602.32</v>
      </c>
      <c r="M150" s="61">
        <v>18776.53</v>
      </c>
      <c r="N150" s="61">
        <v>11755.26</v>
      </c>
      <c r="O150" s="61">
        <v>12354.01</v>
      </c>
      <c r="P150" s="61">
        <v>13130.49</v>
      </c>
      <c r="Q150" s="134">
        <f t="shared" si="55"/>
        <v>163447.51</v>
      </c>
      <c r="R150" s="134">
        <f t="shared" si="54"/>
        <v>7.3229171146953407</v>
      </c>
      <c r="S150" s="148"/>
      <c r="T150" s="40" t="e">
        <f t="shared" si="45"/>
        <v>#DIV/0!</v>
      </c>
    </row>
    <row r="151" spans="1:20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3517.6</v>
      </c>
      <c r="F151" s="61">
        <v>4668.7700000000004</v>
      </c>
      <c r="G151" s="61">
        <v>3328.9300000000003</v>
      </c>
      <c r="H151" s="61">
        <v>3688.31</v>
      </c>
      <c r="I151" s="61">
        <v>3589.77</v>
      </c>
      <c r="J151" s="61">
        <v>3900.19</v>
      </c>
      <c r="K151" s="61">
        <v>4182.59</v>
      </c>
      <c r="L151" s="61">
        <v>4475.8</v>
      </c>
      <c r="M151" s="61">
        <v>5334.77</v>
      </c>
      <c r="N151" s="61">
        <v>3418.58</v>
      </c>
      <c r="O151" s="61">
        <v>3581.99</v>
      </c>
      <c r="P151" s="61">
        <v>3791.63</v>
      </c>
      <c r="Q151" s="134">
        <f t="shared" si="55"/>
        <v>47478.929999999993</v>
      </c>
      <c r="R151" s="134">
        <f t="shared" si="54"/>
        <v>2.1271922043010751</v>
      </c>
      <c r="S151" s="148"/>
      <c r="T151" s="40" t="e">
        <f t="shared" si="45"/>
        <v>#DIV/0!</v>
      </c>
    </row>
    <row r="152" spans="1:20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134">
        <f t="shared" si="55"/>
        <v>0</v>
      </c>
      <c r="R152" s="134">
        <f t="shared" si="54"/>
        <v>0</v>
      </c>
      <c r="S152" s="148"/>
      <c r="T152" s="40">
        <f t="shared" si="45"/>
        <v>0</v>
      </c>
    </row>
    <row r="153" spans="1:20" s="77" customFormat="1" ht="25.4" customHeight="1">
      <c r="A153" s="3"/>
      <c r="B153" s="3"/>
      <c r="C153" s="3"/>
      <c r="D153" s="19" t="s">
        <v>335</v>
      </c>
      <c r="E153" s="151">
        <f>SUM(E145:E152)</f>
        <v>48317.950000000004</v>
      </c>
      <c r="F153" s="151">
        <f t="shared" ref="F153:P153" si="56">SUM(F145:F152)</f>
        <v>65062.599999999991</v>
      </c>
      <c r="G153" s="151">
        <f t="shared" si="56"/>
        <v>45720.27</v>
      </c>
      <c r="H153" s="151">
        <f t="shared" si="56"/>
        <v>50947.799999999988</v>
      </c>
      <c r="I153" s="151">
        <f t="shared" si="56"/>
        <v>49911.329999999994</v>
      </c>
      <c r="J153" s="151">
        <f t="shared" si="56"/>
        <v>54695.839999999997</v>
      </c>
      <c r="K153" s="151">
        <f t="shared" si="56"/>
        <v>59077.630000000005</v>
      </c>
      <c r="L153" s="151">
        <f t="shared" si="56"/>
        <v>63403.540000000008</v>
      </c>
      <c r="M153" s="151">
        <f t="shared" si="56"/>
        <v>76220.060000000012</v>
      </c>
      <c r="N153" s="151">
        <f t="shared" si="56"/>
        <v>47867.02</v>
      </c>
      <c r="O153" s="151">
        <f t="shared" si="56"/>
        <v>50284.89</v>
      </c>
      <c r="P153" s="151">
        <f t="shared" si="56"/>
        <v>53421.04</v>
      </c>
      <c r="Q153" s="151">
        <f t="shared" ref="Q153" si="57">SUM(Q145:Q152)</f>
        <v>664929.97</v>
      </c>
      <c r="R153" s="134">
        <f t="shared" si="54"/>
        <v>29.790769265232974</v>
      </c>
      <c r="S153" s="148"/>
      <c r="T153" s="40" t="e">
        <f t="shared" si="45"/>
        <v>#DIV/0!</v>
      </c>
    </row>
    <row r="154" spans="1:20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S154" s="148"/>
      <c r="T154" s="40"/>
    </row>
    <row r="155" spans="1:20" s="77" customFormat="1" ht="25.4" hidden="1" customHeight="1">
      <c r="A155" s="3" t="s">
        <v>336</v>
      </c>
      <c r="B155" s="3" t="s">
        <v>403</v>
      </c>
      <c r="C155" s="3"/>
      <c r="D155" s="26" t="s">
        <v>337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134">
        <f>SUM(E155:P155)</f>
        <v>0</v>
      </c>
      <c r="R155" s="134">
        <f t="shared" ref="R155:R163" si="58">Q155/$Q$117</f>
        <v>0</v>
      </c>
      <c r="S155" s="148"/>
      <c r="T155" s="40">
        <f t="shared" si="45"/>
        <v>0</v>
      </c>
    </row>
    <row r="156" spans="1:20" s="77" customFormat="1" ht="25.4" hidden="1" customHeight="1">
      <c r="A156" s="3" t="s">
        <v>338</v>
      </c>
      <c r="B156" s="3" t="s">
        <v>403</v>
      </c>
      <c r="C156" s="3"/>
      <c r="D156" s="3" t="s">
        <v>339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61">
        <v>0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134">
        <f t="shared" ref="Q156:Q161" si="59">SUM(E156:P156)</f>
        <v>0</v>
      </c>
      <c r="R156" s="134">
        <f t="shared" si="58"/>
        <v>0</v>
      </c>
      <c r="S156" s="148"/>
      <c r="T156" s="40">
        <f t="shared" si="45"/>
        <v>0</v>
      </c>
    </row>
    <row r="157" spans="1:20" s="77" customFormat="1" ht="25.4" hidden="1" customHeight="1">
      <c r="A157" s="3" t="s">
        <v>340</v>
      </c>
      <c r="B157" s="3" t="s">
        <v>403</v>
      </c>
      <c r="C157" s="3"/>
      <c r="D157" s="26" t="s">
        <v>341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134">
        <f t="shared" si="59"/>
        <v>0</v>
      </c>
      <c r="R157" s="134">
        <f t="shared" si="58"/>
        <v>0</v>
      </c>
      <c r="S157" s="148"/>
      <c r="T157" s="40">
        <f t="shared" si="45"/>
        <v>0</v>
      </c>
    </row>
    <row r="158" spans="1:20" s="77" customFormat="1" ht="25.4" hidden="1" customHeight="1">
      <c r="A158" s="3" t="s">
        <v>342</v>
      </c>
      <c r="B158" s="3" t="s">
        <v>403</v>
      </c>
      <c r="C158" s="3"/>
      <c r="D158" s="26" t="s">
        <v>343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134">
        <f t="shared" si="59"/>
        <v>0</v>
      </c>
      <c r="R158" s="134">
        <f t="shared" si="58"/>
        <v>0</v>
      </c>
      <c r="S158" s="148"/>
      <c r="T158" s="40">
        <f t="shared" si="45"/>
        <v>0</v>
      </c>
    </row>
    <row r="159" spans="1:20" s="77" customFormat="1" ht="25.4" customHeight="1">
      <c r="A159" s="3" t="s">
        <v>344</v>
      </c>
      <c r="B159" s="3" t="s">
        <v>370</v>
      </c>
      <c r="C159" s="3"/>
      <c r="D159" s="26" t="s">
        <v>345</v>
      </c>
      <c r="E159" s="61">
        <v>1874.81</v>
      </c>
      <c r="F159" s="61">
        <v>3180.41</v>
      </c>
      <c r="G159" s="61">
        <v>1811.23</v>
      </c>
      <c r="H159" s="61">
        <v>1970.6</v>
      </c>
      <c r="I159" s="61">
        <v>1944.1799999999998</v>
      </c>
      <c r="J159" s="61">
        <v>2075.86</v>
      </c>
      <c r="K159" s="61">
        <v>2191.25</v>
      </c>
      <c r="L159" s="61">
        <v>2323.9300000000003</v>
      </c>
      <c r="M159" s="61">
        <v>2727.95</v>
      </c>
      <c r="N159" s="61">
        <v>1852.08</v>
      </c>
      <c r="O159" s="61">
        <v>1926.77</v>
      </c>
      <c r="P159" s="61">
        <v>2027.79</v>
      </c>
      <c r="Q159" s="134">
        <f t="shared" si="59"/>
        <v>25906.860000000004</v>
      </c>
      <c r="R159" s="134">
        <f t="shared" si="58"/>
        <v>1.1607016129032259</v>
      </c>
      <c r="S159" s="148"/>
      <c r="T159" s="40" t="e">
        <f t="shared" si="45"/>
        <v>#DIV/0!</v>
      </c>
    </row>
    <row r="160" spans="1:20" s="77" customFormat="1" ht="25.4" customHeight="1">
      <c r="A160" s="3" t="s">
        <v>346</v>
      </c>
      <c r="B160" s="3" t="s">
        <v>370</v>
      </c>
      <c r="C160" s="3"/>
      <c r="D160" s="26" t="s">
        <v>347</v>
      </c>
      <c r="E160" s="61">
        <v>11115.46</v>
      </c>
      <c r="F160" s="61">
        <v>14086.439999999999</v>
      </c>
      <c r="G160" s="61">
        <v>10654.269999999997</v>
      </c>
      <c r="H160" s="61">
        <v>11546.430000000004</v>
      </c>
      <c r="I160" s="61">
        <v>11088.61</v>
      </c>
      <c r="J160" s="61">
        <v>11662.21</v>
      </c>
      <c r="K160" s="61">
        <v>12084.010000000002</v>
      </c>
      <c r="L160" s="61">
        <v>12815.690000000002</v>
      </c>
      <c r="M160" s="61">
        <v>14934.150000000003</v>
      </c>
      <c r="N160" s="61">
        <v>10065.730000000001</v>
      </c>
      <c r="O160" s="61">
        <v>10433.769999999999</v>
      </c>
      <c r="P160" s="61">
        <v>10941.309999999998</v>
      </c>
      <c r="Q160" s="134">
        <f t="shared" si="59"/>
        <v>141428.08000000002</v>
      </c>
      <c r="R160" s="134">
        <f t="shared" si="58"/>
        <v>6.3363835125448036</v>
      </c>
      <c r="S160" s="148"/>
      <c r="T160" s="40" t="e">
        <f t="shared" si="45"/>
        <v>#DIV/0!</v>
      </c>
    </row>
    <row r="161" spans="1:20" s="77" customFormat="1" ht="25.4" customHeight="1">
      <c r="A161" s="3" t="s">
        <v>348</v>
      </c>
      <c r="B161" s="3" t="s">
        <v>370</v>
      </c>
      <c r="C161" s="3"/>
      <c r="D161" s="26" t="s">
        <v>349</v>
      </c>
      <c r="E161" s="61">
        <v>32910.79</v>
      </c>
      <c r="F161" s="61">
        <v>41181.97</v>
      </c>
      <c r="G161" s="61">
        <v>30862.180000000004</v>
      </c>
      <c r="H161" s="61">
        <v>33729.509999999995</v>
      </c>
      <c r="I161" s="61">
        <v>32602.879999999997</v>
      </c>
      <c r="J161" s="61">
        <v>34203.670000000006</v>
      </c>
      <c r="K161" s="61">
        <v>35813.409999999996</v>
      </c>
      <c r="L161" s="61">
        <v>38051.209999999992</v>
      </c>
      <c r="M161" s="61">
        <v>44847.46</v>
      </c>
      <c r="N161" s="61">
        <v>30673.779999999992</v>
      </c>
      <c r="O161" s="61">
        <v>31521.290000000008</v>
      </c>
      <c r="P161" s="61">
        <v>33067.249999999993</v>
      </c>
      <c r="Q161" s="134">
        <f t="shared" si="59"/>
        <v>419465.4</v>
      </c>
      <c r="R161" s="134">
        <f t="shared" si="58"/>
        <v>18.793252688172043</v>
      </c>
      <c r="S161" s="148"/>
      <c r="T161" s="40" t="e">
        <f t="shared" si="45"/>
        <v>#DIV/0!</v>
      </c>
    </row>
    <row r="162" spans="1:20" s="77" customFormat="1" ht="25.4" customHeight="1">
      <c r="A162" s="3"/>
      <c r="B162" s="3"/>
      <c r="C162" s="3"/>
      <c r="D162" s="19" t="s">
        <v>350</v>
      </c>
      <c r="E162" s="151">
        <f>SUM(E155:E161)</f>
        <v>45901.06</v>
      </c>
      <c r="F162" s="151">
        <f t="shared" ref="F162:P162" si="60">SUM(F155:F161)</f>
        <v>58448.82</v>
      </c>
      <c r="G162" s="151">
        <f t="shared" si="60"/>
        <v>43327.68</v>
      </c>
      <c r="H162" s="151">
        <f t="shared" si="60"/>
        <v>47246.54</v>
      </c>
      <c r="I162" s="151">
        <f t="shared" si="60"/>
        <v>45635.67</v>
      </c>
      <c r="J162" s="151">
        <f t="shared" si="60"/>
        <v>47941.740000000005</v>
      </c>
      <c r="K162" s="151">
        <f t="shared" si="60"/>
        <v>50088.67</v>
      </c>
      <c r="L162" s="151">
        <f t="shared" si="60"/>
        <v>53190.829999999994</v>
      </c>
      <c r="M162" s="151">
        <f t="shared" si="60"/>
        <v>62509.56</v>
      </c>
      <c r="N162" s="151">
        <f t="shared" si="60"/>
        <v>42591.59</v>
      </c>
      <c r="O162" s="151">
        <f t="shared" si="60"/>
        <v>43881.830000000009</v>
      </c>
      <c r="P162" s="151">
        <f t="shared" si="60"/>
        <v>46036.349999999991</v>
      </c>
      <c r="Q162" s="151">
        <f t="shared" ref="Q162" si="61">SUM(Q155:Q161)</f>
        <v>586800.34000000008</v>
      </c>
      <c r="R162" s="134">
        <f t="shared" si="58"/>
        <v>26.290337813620077</v>
      </c>
      <c r="S162" s="148"/>
      <c r="T162" s="40" t="e">
        <f t="shared" si="45"/>
        <v>#DIV/0!</v>
      </c>
    </row>
    <row r="163" spans="1:20" s="77" customFormat="1" ht="25.4" customHeight="1">
      <c r="A163" s="3"/>
      <c r="B163" s="3"/>
      <c r="C163" s="3"/>
      <c r="D163" s="19" t="s">
        <v>351</v>
      </c>
      <c r="E163" s="151">
        <f>E134+E143+E153+E162</f>
        <v>315903.73</v>
      </c>
      <c r="F163" s="151">
        <f t="shared" ref="F163:P163" si="62">F134+F143+F153+F162</f>
        <v>359868.01</v>
      </c>
      <c r="G163" s="151">
        <f t="shared" si="62"/>
        <v>257574.91999999998</v>
      </c>
      <c r="H163" s="151">
        <f t="shared" si="62"/>
        <v>298641.58999999997</v>
      </c>
      <c r="I163" s="151">
        <f t="shared" si="62"/>
        <v>299922.71000000002</v>
      </c>
      <c r="J163" s="151">
        <f t="shared" si="62"/>
        <v>300084.90999999997</v>
      </c>
      <c r="K163" s="151">
        <f t="shared" si="62"/>
        <v>320909.89999999997</v>
      </c>
      <c r="L163" s="151">
        <f t="shared" si="62"/>
        <v>343181.74000000005</v>
      </c>
      <c r="M163" s="151">
        <f t="shared" si="62"/>
        <v>408802.58999999997</v>
      </c>
      <c r="N163" s="151">
        <f t="shared" si="62"/>
        <v>307618.07999999996</v>
      </c>
      <c r="O163" s="151">
        <f t="shared" si="62"/>
        <v>275505.04000000004</v>
      </c>
      <c r="P163" s="151">
        <f t="shared" si="62"/>
        <v>291408.46999999997</v>
      </c>
      <c r="Q163" s="151">
        <f t="shared" ref="Q163" si="63">Q134+Q143+Q153+Q162</f>
        <v>3779421.6899999995</v>
      </c>
      <c r="R163" s="134">
        <f t="shared" si="58"/>
        <v>169.32892876344084</v>
      </c>
      <c r="S163" s="148"/>
      <c r="T163" s="40" t="e">
        <f t="shared" si="45"/>
        <v>#DIV/0!</v>
      </c>
    </row>
    <row r="164" spans="1:20" s="42" customFormat="1" ht="25.4" customHeight="1">
      <c r="S164" s="148"/>
      <c r="T164" s="40"/>
    </row>
    <row r="165" spans="1:20" s="77" customFormat="1" ht="25.4" customHeight="1">
      <c r="A165" s="3" t="s">
        <v>108</v>
      </c>
      <c r="B165" s="3" t="s">
        <v>370</v>
      </c>
      <c r="C165" s="3"/>
      <c r="D165" s="19" t="s">
        <v>354</v>
      </c>
      <c r="E165" s="65">
        <v>31</v>
      </c>
      <c r="F165" s="65">
        <v>40</v>
      </c>
      <c r="G165" s="65">
        <v>30</v>
      </c>
      <c r="H165" s="65">
        <v>33</v>
      </c>
      <c r="I165" s="65">
        <v>32</v>
      </c>
      <c r="J165" s="65">
        <v>35</v>
      </c>
      <c r="K165" s="65">
        <v>37</v>
      </c>
      <c r="L165" s="65">
        <v>39</v>
      </c>
      <c r="M165" s="65">
        <v>45</v>
      </c>
      <c r="N165" s="65">
        <v>31</v>
      </c>
      <c r="O165" s="65">
        <v>32</v>
      </c>
      <c r="P165" s="65">
        <v>34</v>
      </c>
      <c r="Q165" s="157">
        <f>SUM(E165:P165)/12</f>
        <v>34.916666666666664</v>
      </c>
      <c r="R165" s="158"/>
      <c r="S165" s="148"/>
      <c r="T165" s="40" t="e">
        <f t="shared" si="45"/>
        <v>#DIV/0!</v>
      </c>
    </row>
  </sheetData>
  <phoneticPr fontId="56" type="noConversion"/>
  <dataValidations count="38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458670.58_x000d__x000a_" sqref="E12:P12 N112:P116">
      <formula1>0</formula1>
      <formula2>300</formula2>
    </dataValidation>
    <dataValidation type="textLength" errorStyle="information" allowBlank="1" showInputMessage="1" showErrorMessage="1" error="XLBVal:6=44987.9_x000d__x000a_" sqref="E21:P21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468630.27_x000d__x000a_" sqref="E13:P13 E113:M113">
      <formula1>0</formula1>
      <formula2>300</formula2>
    </dataValidation>
    <dataValidation type="textLength" errorStyle="information" allowBlank="1" showInputMessage="1" showErrorMessage="1" error="XLBVal:5=2443234.73_x000d__x000a_" sqref="E29:E30">
      <formula1>0</formula1>
      <formula2>300</formula2>
    </dataValidation>
    <dataValidation type="textLength" errorStyle="information" allowBlank="1" showInputMessage="1" showErrorMessage="1" error="XLBVal:5=1285238.57_x000d__x000a_" sqref="F17:R17 E25:R25 E34:R34 R36 E17:E19">
      <formula1>0</formula1>
      <formula2>300</formula2>
    </dataValidation>
    <dataValidation type="textLength" errorStyle="information" allowBlank="1" showInputMessage="1" showErrorMessage="1" error="XLBVal:6=7235.47_x000d__x000a_" sqref="E20:P20">
      <formula1>0</formula1>
      <formula2>300</formula2>
    </dataValidation>
    <dataValidation type="textLength" errorStyle="information" allowBlank="1" showInputMessage="1" showErrorMessage="1" error="XLBVal:6=21065.12_x000d__x000a_" sqref="E32:P32">
      <formula1>0</formula1>
      <formula2>300</formula2>
    </dataValidation>
    <dataValidation type="textLength" errorStyle="information" allowBlank="1" showInputMessage="1" showErrorMessage="1" error="XLBVal:6=38233.14_x000d__x000a_" sqref="E26:P26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209604.31_x000d__x000a_" sqref="E27:P27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25196619_x000d__x000a_" sqref="Q31">
      <formula1>0</formula1>
      <formula2>300</formula2>
    </dataValidation>
    <dataValidation type="textLength" errorStyle="information" allowBlank="1" showInputMessage="1" showErrorMessage="1" error="XLBVal:6=976708_x000d__x000a_" sqref="Q32">
      <formula1>0</formula1>
      <formula2>300</formula2>
    </dataValidation>
    <dataValidation type="textLength" errorStyle="information" allowBlank="1" showInputMessage="1" showErrorMessage="1" error="XLBVal:6=4423_x000d__x000a_" sqref="E112:M112">
      <formula1>0</formula1>
      <formula2>300</formula2>
    </dataValidation>
    <dataValidation type="textLength" errorStyle="information" allowBlank="1" showInputMessage="1" showErrorMessage="1" error="XLBVal:2=0_x000d__x000a_" sqref="E33:Q33 E35:L35 F37:F38 E108:R108 E117:R117 Q39:R107 R165 R136:R143 Q20:R24 Q132:Q133 Q155:Q161 R26:R27 R31:R33 R132:R134 E155:P158 R145:R153 R155:R163 E22:P24 Q12:R13 E14:R16 E114:M116 Q112:R116 E151:P152 E131:R131 E136:P142">
      <formula1>0</formula1>
      <formula2>300</formula2>
    </dataValidation>
    <dataValidation type="textLength" errorStyle="information" allowBlank="1" showInputMessage="1" showErrorMessage="1" error="XLBVal:6=82302.23_x000d__x000a_" sqref="E145:P150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2660698_x000d__x000a_" sqref="Q145:Q152">
      <formula1>0</formula1>
      <formula2>300</formula2>
    </dataValidation>
    <dataValidation type="textLength" errorStyle="information" allowBlank="1" showInputMessage="1" showErrorMessage="1" error="XLBVal:6=0_x000d__x000a_" sqref="E109:R109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sqref="E118:L118 H126:L126 H127:R127 F126:G130 E120:E130 H128:L130 F120:R125 E164:P164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6=3678_x000d__x000a_" sqref="E154:P154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5=0_x000d__x000a_" sqref="F18:F19 F29:F30">
      <formula1>0</formula1>
      <formula2>300</formula2>
    </dataValidation>
    <dataValidation type="textLength" errorStyle="information" allowBlank="1" showInputMessage="1" showErrorMessage="1" error="XLBVal:6=995082_x000d__x000a_" sqref="Q136:Q142">
      <formula1>0</formula1>
      <formula2>300</formula2>
    </dataValidation>
    <dataValidation type="textLength" errorStyle="information" allowBlank="1" showInputMessage="1" showErrorMessage="1" error="XLBVal:5=1616616_x000d__x000a_" sqref="G18:L19">
      <formula1>0</formula1>
      <formula2>300</formula2>
    </dataValidation>
    <dataValidation type="textLength" errorStyle="information" allowBlank="1" showInputMessage="1" showErrorMessage="1" error="XLBVal:5=3384188.86_x000d__x000a_" sqref="G29:L30">
      <formula1>0</formula1>
      <formula2>300</formula2>
    </dataValidation>
    <dataValidation type="textLength" errorStyle="information" allowBlank="1" showInputMessage="1" showErrorMessage="1" error="XLBVal:6=6595485.04_x000d__x000a_" sqref="G37:L38">
      <formula1>0</formula1>
      <formula2>300</formula2>
    </dataValidation>
    <dataValidation type="textLength" allowBlank="1" showErrorMessage="1" sqref="E39:P10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165"/>
  <sheetViews>
    <sheetView topLeftCell="D1" zoomScale="50" zoomScaleNormal="50" zoomScaleSheetLayoutView="40" workbookViewId="0">
      <pane xSplit="1" ySplit="10" topLeftCell="E47" activePane="bottomRight" state="frozen"/>
      <selection activeCell="E39" sqref="E39:P108"/>
      <selection pane="topRight" activeCell="E39" sqref="E39:P108"/>
      <selection pane="bottomLeft" activeCell="E39" sqref="E39:P108"/>
      <selection pane="bottomRight" activeCell="E39" sqref="E39:P108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95.453125" style="6" customWidth="1" collapsed="1"/>
    <col min="5" max="5" width="22.453125" style="7" customWidth="1"/>
    <col min="6" max="7" width="19.453125" style="7" customWidth="1"/>
    <col min="8" max="9" width="19.90625" style="7" customWidth="1"/>
    <col min="10" max="11" width="19.90625" style="139" customWidth="1"/>
    <col min="12" max="12" width="19.90625" style="5" customWidth="1"/>
    <col min="13" max="16" width="21" style="139" customWidth="1"/>
    <col min="17" max="17" width="36.453125" style="139" customWidth="1"/>
    <col min="18" max="18" width="17.453125" style="139" customWidth="1"/>
    <col min="19" max="19" width="22.453125" style="140" customWidth="1"/>
    <col min="20" max="20" width="22.453125" style="139" customWidth="1"/>
    <col min="21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</row>
    <row r="4" spans="1:20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S4" s="147"/>
    </row>
    <row r="5" spans="1:20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S5" s="147"/>
    </row>
    <row r="6" spans="1:20" s="138" customFormat="1" ht="25.4" customHeight="1">
      <c r="D6" s="10" t="s">
        <v>1144</v>
      </c>
      <c r="E6" s="143"/>
      <c r="F6" s="143"/>
      <c r="G6" s="143"/>
      <c r="H6" s="143"/>
      <c r="I6" s="143"/>
      <c r="L6" s="2"/>
      <c r="S6" s="147"/>
    </row>
    <row r="7" spans="1:20" s="138" customFormat="1" ht="25.4" customHeight="1">
      <c r="D7" s="15">
        <f>Summary!D7</f>
        <v>2025</v>
      </c>
      <c r="E7" s="143"/>
      <c r="F7" s="143"/>
      <c r="G7" s="143"/>
      <c r="H7" s="143"/>
      <c r="I7" s="143"/>
      <c r="L7" s="2"/>
      <c r="S7" s="147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R9" s="18"/>
      <c r="S9" s="148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439</v>
      </c>
      <c r="B12" s="3" t="s">
        <v>374</v>
      </c>
      <c r="C12" s="3"/>
      <c r="D12" s="26" t="s">
        <v>440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441</v>
      </c>
      <c r="B13" s="3" t="s">
        <v>374</v>
      </c>
      <c r="C13" s="3"/>
      <c r="D13" s="26" t="s">
        <v>442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146">
        <f t="shared" ref="Q13:Q16" si="0">SUM(E13:P13)</f>
        <v>0</v>
      </c>
      <c r="R13" s="134"/>
      <c r="S13" s="148"/>
      <c r="T13" s="40">
        <f t="shared" ref="T13:T28" si="1">IF(Q13-S13=0,0,(Q13-S13)/S13)</f>
        <v>0</v>
      </c>
    </row>
    <row r="14" spans="1:20" s="77" customFormat="1" ht="25.4" customHeight="1">
      <c r="A14" s="50" t="s">
        <v>443</v>
      </c>
      <c r="B14" s="3" t="s">
        <v>374</v>
      </c>
      <c r="C14" s="3"/>
      <c r="D14" s="26" t="s">
        <v>446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146">
        <f t="shared" si="0"/>
        <v>0</v>
      </c>
      <c r="R14" s="134"/>
      <c r="S14" s="148"/>
      <c r="T14" s="40">
        <f t="shared" si="1"/>
        <v>0</v>
      </c>
    </row>
    <row r="15" spans="1:20" s="77" customFormat="1" ht="25.4" customHeight="1">
      <c r="A15" s="50" t="s">
        <v>445</v>
      </c>
      <c r="B15" s="3" t="s">
        <v>374</v>
      </c>
      <c r="C15" s="3"/>
      <c r="D15" s="26" t="s">
        <v>444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46">
        <f t="shared" si="0"/>
        <v>0</v>
      </c>
      <c r="R15" s="134"/>
      <c r="S15" s="148"/>
      <c r="T15" s="40">
        <f t="shared" si="1"/>
        <v>0</v>
      </c>
    </row>
    <row r="16" spans="1:20" s="77" customFormat="1" ht="25.4" customHeight="1">
      <c r="A16" s="50" t="s">
        <v>447</v>
      </c>
      <c r="B16" s="3" t="s">
        <v>374</v>
      </c>
      <c r="C16" s="3"/>
      <c r="D16" s="26" t="s">
        <v>448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146">
        <f t="shared" si="0"/>
        <v>0</v>
      </c>
      <c r="R16" s="134"/>
      <c r="S16" s="148"/>
      <c r="T16" s="40">
        <f t="shared" si="1"/>
        <v>0</v>
      </c>
    </row>
    <row r="17" spans="1:20" s="77" customFormat="1" ht="25.4" customHeight="1">
      <c r="A17" s="3"/>
      <c r="B17" s="3"/>
      <c r="C17" s="3"/>
      <c r="D17" s="21" t="s">
        <v>397</v>
      </c>
      <c r="E17" s="45">
        <f>SUM(E12:E16)</f>
        <v>0</v>
      </c>
      <c r="F17" s="45">
        <f t="shared" ref="F17:Q17" si="2">SUM(F12:F16)</f>
        <v>0</v>
      </c>
      <c r="G17" s="45">
        <f t="shared" si="2"/>
        <v>0</v>
      </c>
      <c r="H17" s="45">
        <f t="shared" si="2"/>
        <v>0</v>
      </c>
      <c r="I17" s="45">
        <f t="shared" si="2"/>
        <v>0</v>
      </c>
      <c r="J17" s="45">
        <f t="shared" si="2"/>
        <v>0</v>
      </c>
      <c r="K17" s="45">
        <f t="shared" si="2"/>
        <v>0</v>
      </c>
      <c r="L17" s="45">
        <f t="shared" si="2"/>
        <v>0</v>
      </c>
      <c r="M17" s="45">
        <f t="shared" si="2"/>
        <v>0</v>
      </c>
      <c r="N17" s="45">
        <f t="shared" si="2"/>
        <v>0</v>
      </c>
      <c r="O17" s="45">
        <f t="shared" si="2"/>
        <v>0</v>
      </c>
      <c r="P17" s="45">
        <f t="shared" si="2"/>
        <v>0</v>
      </c>
      <c r="Q17" s="45">
        <f t="shared" si="2"/>
        <v>0</v>
      </c>
      <c r="R17" s="45"/>
      <c r="S17" s="148"/>
      <c r="T17" s="40">
        <f t="shared" si="1"/>
        <v>0</v>
      </c>
    </row>
    <row r="18" spans="1:20" s="77" customFormat="1" ht="25.4" customHeight="1">
      <c r="A18" s="3"/>
      <c r="B18" s="3"/>
      <c r="C18" s="3"/>
      <c r="D18" s="26"/>
      <c r="E18" s="106"/>
      <c r="F18" s="24"/>
      <c r="G18" s="106"/>
      <c r="H18" s="25"/>
      <c r="I18" s="25"/>
      <c r="J18" s="3"/>
      <c r="K18" s="3"/>
      <c r="L18" s="152"/>
      <c r="S18" s="148"/>
      <c r="T18" s="40"/>
    </row>
    <row r="19" spans="1:20" s="77" customFormat="1" ht="25.4" customHeight="1">
      <c r="A19" s="3"/>
      <c r="B19" s="3"/>
      <c r="C19" s="3"/>
      <c r="D19" s="21" t="s">
        <v>398</v>
      </c>
      <c r="E19" s="106"/>
      <c r="F19" s="63"/>
      <c r="G19" s="63"/>
      <c r="H19" s="63"/>
      <c r="I19" s="63"/>
      <c r="J19" s="3"/>
      <c r="K19" s="3"/>
      <c r="L19" s="152"/>
      <c r="S19" s="148"/>
      <c r="T19" s="40">
        <f t="shared" si="1"/>
        <v>0</v>
      </c>
    </row>
    <row r="20" spans="1:20" s="77" customFormat="1" ht="25.4" customHeight="1">
      <c r="A20" s="50" t="s">
        <v>449</v>
      </c>
      <c r="B20" s="3" t="s">
        <v>374</v>
      </c>
      <c r="C20" s="3"/>
      <c r="D20" s="26" t="s">
        <v>440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134">
        <f>SUM(E20:P20)</f>
        <v>0</v>
      </c>
      <c r="R20" s="134"/>
      <c r="S20" s="148"/>
      <c r="T20" s="40">
        <f t="shared" si="1"/>
        <v>0</v>
      </c>
    </row>
    <row r="21" spans="1:20" s="77" customFormat="1" ht="25.4" customHeight="1">
      <c r="A21" s="50" t="s">
        <v>450</v>
      </c>
      <c r="B21" s="3" t="s">
        <v>374</v>
      </c>
      <c r="C21" s="3"/>
      <c r="D21" s="26" t="s">
        <v>442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134">
        <f t="shared" ref="Q21:Q24" si="3">SUM(E21:P21)</f>
        <v>0</v>
      </c>
      <c r="R21" s="134"/>
      <c r="S21" s="148"/>
      <c r="T21" s="40">
        <f t="shared" si="1"/>
        <v>0</v>
      </c>
    </row>
    <row r="22" spans="1:20" s="77" customFormat="1" ht="25.4" customHeight="1">
      <c r="A22" s="50" t="s">
        <v>451</v>
      </c>
      <c r="B22" s="3" t="s">
        <v>374</v>
      </c>
      <c r="C22" s="3"/>
      <c r="D22" s="26" t="s">
        <v>446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134">
        <f t="shared" si="3"/>
        <v>0</v>
      </c>
      <c r="R22" s="134"/>
      <c r="S22" s="148"/>
      <c r="T22" s="40">
        <f t="shared" si="1"/>
        <v>0</v>
      </c>
    </row>
    <row r="23" spans="1:20" s="77" customFormat="1" ht="25.4" customHeight="1">
      <c r="A23" s="50" t="s">
        <v>452</v>
      </c>
      <c r="B23" s="3" t="s">
        <v>374</v>
      </c>
      <c r="C23" s="3"/>
      <c r="D23" s="26" t="s">
        <v>444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134">
        <f t="shared" si="3"/>
        <v>0</v>
      </c>
      <c r="R23" s="134"/>
      <c r="S23" s="148"/>
      <c r="T23" s="40">
        <f t="shared" si="1"/>
        <v>0</v>
      </c>
    </row>
    <row r="24" spans="1:20" s="77" customFormat="1" ht="25.4" customHeight="1">
      <c r="A24" s="50" t="s">
        <v>453</v>
      </c>
      <c r="B24" s="3" t="s">
        <v>374</v>
      </c>
      <c r="C24" s="3"/>
      <c r="D24" s="26" t="s">
        <v>448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134">
        <f t="shared" si="3"/>
        <v>0</v>
      </c>
      <c r="R24" s="134"/>
      <c r="S24" s="148"/>
      <c r="T24" s="40">
        <f t="shared" si="1"/>
        <v>0</v>
      </c>
    </row>
    <row r="25" spans="1:20" s="77" customFormat="1" ht="25.4" customHeight="1">
      <c r="A25" s="3"/>
      <c r="B25" s="3"/>
      <c r="C25" s="3"/>
      <c r="D25" s="21" t="s">
        <v>401</v>
      </c>
      <c r="E25" s="45">
        <f>SUM(E20:E24)</f>
        <v>0</v>
      </c>
      <c r="F25" s="45">
        <f t="shared" ref="F25:Q25" si="4">SUM(F20:F24)</f>
        <v>0</v>
      </c>
      <c r="G25" s="45">
        <f t="shared" si="4"/>
        <v>0</v>
      </c>
      <c r="H25" s="45">
        <f t="shared" si="4"/>
        <v>0</v>
      </c>
      <c r="I25" s="45">
        <f t="shared" si="4"/>
        <v>0</v>
      </c>
      <c r="J25" s="45">
        <f t="shared" si="4"/>
        <v>0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5">
        <f t="shared" si="4"/>
        <v>0</v>
      </c>
      <c r="O25" s="45">
        <f t="shared" si="4"/>
        <v>0</v>
      </c>
      <c r="P25" s="45">
        <f t="shared" si="4"/>
        <v>0</v>
      </c>
      <c r="Q25" s="45">
        <f t="shared" si="4"/>
        <v>0</v>
      </c>
      <c r="R25" s="45"/>
      <c r="S25" s="148"/>
      <c r="T25" s="40">
        <f t="shared" si="1"/>
        <v>0</v>
      </c>
    </row>
    <row r="26" spans="1:20" s="77" customFormat="1" ht="25.4" customHeight="1">
      <c r="A26" s="50" t="s">
        <v>407</v>
      </c>
      <c r="B26" s="3" t="s">
        <v>374</v>
      </c>
      <c r="C26" s="3"/>
      <c r="D26" s="26" t="s">
        <v>408</v>
      </c>
      <c r="E26" s="63"/>
      <c r="F26" s="63"/>
      <c r="G26" s="63"/>
      <c r="H26" s="63"/>
      <c r="I26" s="63"/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134">
        <f>SUM(E26:P26)</f>
        <v>0</v>
      </c>
      <c r="R26" s="134"/>
      <c r="S26" s="148"/>
      <c r="T26" s="40">
        <f>IF(S26&lt;&gt;0,(Q26-S26)/S26,1)</f>
        <v>1</v>
      </c>
    </row>
    <row r="27" spans="1:20" s="77" customFormat="1" ht="25.4" customHeight="1">
      <c r="A27" s="50" t="s">
        <v>128</v>
      </c>
      <c r="B27" s="3" t="s">
        <v>374</v>
      </c>
      <c r="C27" s="3"/>
      <c r="D27" s="26" t="s">
        <v>409</v>
      </c>
      <c r="E27" s="63">
        <f t="shared" ref="E27:P27" si="5">+(E17+E25)*0.1</f>
        <v>0</v>
      </c>
      <c r="F27" s="63">
        <f t="shared" si="5"/>
        <v>0</v>
      </c>
      <c r="G27" s="63">
        <f t="shared" si="5"/>
        <v>0</v>
      </c>
      <c r="H27" s="63">
        <f t="shared" si="5"/>
        <v>0</v>
      </c>
      <c r="I27" s="63">
        <f t="shared" si="5"/>
        <v>0</v>
      </c>
      <c r="J27" s="63">
        <f t="shared" si="5"/>
        <v>0</v>
      </c>
      <c r="K27" s="63">
        <f t="shared" si="5"/>
        <v>0</v>
      </c>
      <c r="L27" s="63">
        <f t="shared" si="5"/>
        <v>0</v>
      </c>
      <c r="M27" s="63">
        <f t="shared" si="5"/>
        <v>0</v>
      </c>
      <c r="N27" s="63">
        <f t="shared" si="5"/>
        <v>0</v>
      </c>
      <c r="O27" s="63">
        <f t="shared" si="5"/>
        <v>0</v>
      </c>
      <c r="P27" s="63">
        <f t="shared" si="5"/>
        <v>0</v>
      </c>
      <c r="Q27" s="134">
        <f>SUM(E27:P27)</f>
        <v>0</v>
      </c>
      <c r="R27" s="134"/>
      <c r="S27" s="148"/>
      <c r="T27" s="40">
        <f t="shared" si="1"/>
        <v>0</v>
      </c>
    </row>
    <row r="28" spans="1:20" s="77" customFormat="1" ht="25.4" customHeight="1">
      <c r="A28" s="50"/>
      <c r="B28" s="3"/>
      <c r="C28" s="3"/>
      <c r="D28" s="21" t="s">
        <v>410</v>
      </c>
      <c r="E28" s="45">
        <f>E17+E25+E26+E27</f>
        <v>0</v>
      </c>
      <c r="F28" s="45">
        <f t="shared" ref="F28:Q28" si="6">F17+F25+F26+F27</f>
        <v>0</v>
      </c>
      <c r="G28" s="45">
        <f t="shared" si="6"/>
        <v>0</v>
      </c>
      <c r="H28" s="45">
        <f t="shared" si="6"/>
        <v>0</v>
      </c>
      <c r="I28" s="45">
        <f t="shared" si="6"/>
        <v>0</v>
      </c>
      <c r="J28" s="45">
        <f t="shared" si="6"/>
        <v>0</v>
      </c>
      <c r="K28" s="45">
        <f t="shared" si="6"/>
        <v>0</v>
      </c>
      <c r="L28" s="45">
        <f t="shared" si="6"/>
        <v>0</v>
      </c>
      <c r="M28" s="45">
        <f t="shared" si="6"/>
        <v>0</v>
      </c>
      <c r="N28" s="45">
        <f t="shared" si="6"/>
        <v>0</v>
      </c>
      <c r="O28" s="45">
        <f t="shared" si="6"/>
        <v>0</v>
      </c>
      <c r="P28" s="45">
        <f t="shared" si="6"/>
        <v>0</v>
      </c>
      <c r="Q28" s="45">
        <f t="shared" si="6"/>
        <v>0</v>
      </c>
      <c r="R28" s="45"/>
      <c r="S28" s="148"/>
      <c r="T28" s="40">
        <f t="shared" si="1"/>
        <v>0</v>
      </c>
    </row>
    <row r="29" spans="1:20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3"/>
      <c r="K29" s="3"/>
      <c r="L29" s="152"/>
      <c r="S29" s="148"/>
      <c r="T29" s="40"/>
    </row>
    <row r="30" spans="1:20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3"/>
      <c r="K30" s="3"/>
      <c r="L30" s="152"/>
      <c r="S30" s="148"/>
      <c r="T30" s="40"/>
    </row>
    <row r="31" spans="1:20" s="77" customFormat="1" ht="25.4" customHeight="1">
      <c r="A31" s="50" t="s">
        <v>412</v>
      </c>
      <c r="B31" s="3" t="s">
        <v>374</v>
      </c>
      <c r="C31" s="3"/>
      <c r="D31" s="26" t="s">
        <v>413</v>
      </c>
      <c r="E31" s="63">
        <f>E17*30.6%</f>
        <v>0</v>
      </c>
      <c r="F31" s="63">
        <f>F17*31.6%</f>
        <v>0</v>
      </c>
      <c r="G31" s="63">
        <f>G17*30.6%</f>
        <v>0</v>
      </c>
      <c r="H31" s="63">
        <f>H17*32.6%</f>
        <v>0</v>
      </c>
      <c r="I31" s="63">
        <f>I17*32.5%</f>
        <v>0</v>
      </c>
      <c r="J31" s="63">
        <f>J17*33%</f>
        <v>0</v>
      </c>
      <c r="K31" s="63">
        <f>K17*33%</f>
        <v>0</v>
      </c>
      <c r="L31" s="63">
        <f>L17*32%</f>
        <v>0</v>
      </c>
      <c r="M31" s="63">
        <f>M17*31.1%</f>
        <v>0</v>
      </c>
      <c r="N31" s="63">
        <f>N17*30.9%</f>
        <v>0</v>
      </c>
      <c r="O31" s="63">
        <f>O17*31%</f>
        <v>0</v>
      </c>
      <c r="P31" s="63">
        <f>P17*32%</f>
        <v>0</v>
      </c>
      <c r="Q31" s="134">
        <f>SUM(E31:P31)</f>
        <v>0</v>
      </c>
      <c r="R31" s="159" t="e">
        <f>Q31/Q17</f>
        <v>#DIV/0!</v>
      </c>
      <c r="S31" s="148"/>
      <c r="T31" s="40">
        <f>-IF(Q31-S31=0,0,(Q31-S31)/S31)</f>
        <v>0</v>
      </c>
    </row>
    <row r="32" spans="1:20" s="77" customFormat="1" ht="25.4" customHeight="1">
      <c r="A32" s="3" t="s">
        <v>414</v>
      </c>
      <c r="B32" s="3" t="s">
        <v>374</v>
      </c>
      <c r="C32" s="3"/>
      <c r="D32" s="26" t="s">
        <v>415</v>
      </c>
      <c r="E32" s="63"/>
      <c r="F32" s="63"/>
      <c r="G32" s="63"/>
      <c r="H32" s="63"/>
      <c r="I32" s="63"/>
      <c r="J32" s="61"/>
      <c r="K32" s="146"/>
      <c r="L32" s="146"/>
      <c r="M32" s="27">
        <v>0</v>
      </c>
      <c r="N32" s="27">
        <f>+N25*0.23</f>
        <v>0</v>
      </c>
      <c r="O32" s="27">
        <f>+O25*0.23</f>
        <v>0</v>
      </c>
      <c r="P32" s="27">
        <f>+P25*0.23</f>
        <v>0</v>
      </c>
      <c r="Q32" s="134">
        <f t="shared" ref="Q32:Q33" si="7">SUM(E32:P32)</f>
        <v>0</v>
      </c>
      <c r="R32" s="159" t="e">
        <f>Q32/Q25</f>
        <v>#DIV/0!</v>
      </c>
      <c r="S32" s="148"/>
      <c r="T32" s="40">
        <f t="shared" ref="T32:T95" si="8">-IF(Q32-S32=0,0,(Q32-S32)/S32)</f>
        <v>0</v>
      </c>
    </row>
    <row r="33" spans="1:20" s="77" customFormat="1" ht="25.4" customHeight="1">
      <c r="A33" s="3" t="s">
        <v>454</v>
      </c>
      <c r="B33" s="3" t="s">
        <v>374</v>
      </c>
      <c r="C33" s="3"/>
      <c r="D33" s="26" t="s">
        <v>419</v>
      </c>
      <c r="E33" s="63"/>
      <c r="F33" s="63"/>
      <c r="G33" s="63"/>
      <c r="H33" s="63"/>
      <c r="I33" s="63"/>
      <c r="J33" s="61"/>
      <c r="K33" s="61"/>
      <c r="L33" s="61"/>
      <c r="M33" s="27">
        <v>0</v>
      </c>
      <c r="N33" s="27">
        <v>0</v>
      </c>
      <c r="O33" s="27">
        <v>0</v>
      </c>
      <c r="P33" s="27">
        <v>0</v>
      </c>
      <c r="Q33" s="134">
        <f t="shared" si="7"/>
        <v>0</v>
      </c>
      <c r="R33" s="159" t="e">
        <f>Q33/Q26</f>
        <v>#DIV/0!</v>
      </c>
      <c r="S33" s="148"/>
      <c r="T33" s="40">
        <f t="shared" si="8"/>
        <v>0</v>
      </c>
    </row>
    <row r="34" spans="1:20" s="77" customFormat="1" ht="25.4" customHeight="1">
      <c r="A34" s="3"/>
      <c r="B34" s="3"/>
      <c r="C34" s="3"/>
      <c r="D34" s="21" t="s">
        <v>420</v>
      </c>
      <c r="E34" s="45">
        <f>+SUM(E31:E33)</f>
        <v>0</v>
      </c>
      <c r="F34" s="45">
        <f t="shared" ref="F34:P34" si="9">+SUM(F31:F33)</f>
        <v>0</v>
      </c>
      <c r="G34" s="45">
        <f t="shared" si="9"/>
        <v>0</v>
      </c>
      <c r="H34" s="45">
        <f t="shared" si="9"/>
        <v>0</v>
      </c>
      <c r="I34" s="45">
        <f t="shared" si="9"/>
        <v>0</v>
      </c>
      <c r="J34" s="45">
        <f t="shared" si="9"/>
        <v>0</v>
      </c>
      <c r="K34" s="45">
        <f t="shared" si="9"/>
        <v>0</v>
      </c>
      <c r="L34" s="45">
        <f t="shared" si="9"/>
        <v>0</v>
      </c>
      <c r="M34" s="45">
        <f t="shared" si="9"/>
        <v>0</v>
      </c>
      <c r="N34" s="45">
        <f t="shared" si="9"/>
        <v>0</v>
      </c>
      <c r="O34" s="45">
        <f t="shared" si="9"/>
        <v>0</v>
      </c>
      <c r="P34" s="45">
        <f t="shared" si="9"/>
        <v>0</v>
      </c>
      <c r="Q34" s="45">
        <f>SUM(Q31:Q33)</f>
        <v>0</v>
      </c>
      <c r="R34" s="149" t="e">
        <f>Q34/$Q$28</f>
        <v>#DIV/0!</v>
      </c>
      <c r="S34" s="148"/>
      <c r="T34" s="40">
        <f t="shared" si="8"/>
        <v>0</v>
      </c>
    </row>
    <row r="35" spans="1:20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3"/>
      <c r="K35" s="3"/>
      <c r="L35" s="152"/>
      <c r="Q35" s="150"/>
      <c r="S35" s="148"/>
      <c r="T35" s="40"/>
    </row>
    <row r="36" spans="1:20" s="77" customFormat="1" ht="25.4" customHeight="1">
      <c r="A36" s="3" t="s">
        <v>106</v>
      </c>
      <c r="B36" s="3" t="s">
        <v>374</v>
      </c>
      <c r="C36" s="3"/>
      <c r="D36" s="21" t="s">
        <v>139</v>
      </c>
      <c r="E36" s="45">
        <f>+E163</f>
        <v>0</v>
      </c>
      <c r="F36" s="45">
        <f t="shared" ref="F36:P36" si="10">+F163</f>
        <v>0</v>
      </c>
      <c r="G36" s="45">
        <f t="shared" si="10"/>
        <v>0</v>
      </c>
      <c r="H36" s="45">
        <f t="shared" si="10"/>
        <v>0</v>
      </c>
      <c r="I36" s="45">
        <f t="shared" si="10"/>
        <v>0</v>
      </c>
      <c r="J36" s="45">
        <f t="shared" si="10"/>
        <v>0</v>
      </c>
      <c r="K36" s="45">
        <f t="shared" si="10"/>
        <v>0</v>
      </c>
      <c r="L36" s="45">
        <f t="shared" si="10"/>
        <v>0</v>
      </c>
      <c r="M36" s="45">
        <f t="shared" si="10"/>
        <v>0</v>
      </c>
      <c r="N36" s="45">
        <f t="shared" si="10"/>
        <v>0</v>
      </c>
      <c r="O36" s="45">
        <f t="shared" si="10"/>
        <v>0</v>
      </c>
      <c r="P36" s="45">
        <f t="shared" si="10"/>
        <v>0</v>
      </c>
      <c r="Q36" s="45">
        <f>SUM(E36:P36)</f>
        <v>0</v>
      </c>
      <c r="R36" s="149" t="e">
        <f>Q36/$Q$28</f>
        <v>#DIV/0!</v>
      </c>
      <c r="S36" s="148"/>
      <c r="T36" s="40">
        <f t="shared" si="8"/>
        <v>0</v>
      </c>
    </row>
    <row r="37" spans="1:20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3"/>
      <c r="K37" s="3"/>
      <c r="L37" s="152"/>
      <c r="S37" s="148"/>
      <c r="T37" s="40"/>
    </row>
    <row r="38" spans="1:20" s="77" customFormat="1" ht="25.4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3"/>
      <c r="K38" s="3"/>
      <c r="L38" s="152"/>
      <c r="R38" s="34" t="s">
        <v>421</v>
      </c>
      <c r="S38" s="148"/>
      <c r="T38" s="40">
        <f t="shared" si="8"/>
        <v>0</v>
      </c>
    </row>
    <row r="39" spans="1:20" s="77" customFormat="1" ht="25.4" customHeight="1">
      <c r="A39" s="3" t="s">
        <v>142</v>
      </c>
      <c r="B39" s="3" t="s">
        <v>374</v>
      </c>
      <c r="C39" s="3"/>
      <c r="D39" s="26" t="s">
        <v>143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134">
        <f>SUM(E39:P39)</f>
        <v>0</v>
      </c>
      <c r="R39" s="134" t="e">
        <f>Q39/$Q$117</f>
        <v>#DIV/0!</v>
      </c>
      <c r="S39" s="148"/>
      <c r="T39" s="40">
        <f t="shared" si="8"/>
        <v>0</v>
      </c>
    </row>
    <row r="40" spans="1:20" s="77" customFormat="1" ht="25.4" customHeight="1">
      <c r="A40" s="3" t="s">
        <v>144</v>
      </c>
      <c r="B40" s="3" t="s">
        <v>374</v>
      </c>
      <c r="C40" s="3"/>
      <c r="D40" s="26" t="s">
        <v>145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134">
        <f t="shared" ref="Q40:Q103" si="11">SUM(E40:P40)</f>
        <v>0</v>
      </c>
      <c r="R40" s="134" t="e">
        <f t="shared" ref="R40:R103" si="12">Q40/$Q$117</f>
        <v>#DIV/0!</v>
      </c>
      <c r="S40" s="148"/>
      <c r="T40" s="40">
        <f t="shared" si="8"/>
        <v>0</v>
      </c>
    </row>
    <row r="41" spans="1:20" s="77" customFormat="1" ht="25.4" customHeight="1">
      <c r="A41" s="3" t="s">
        <v>146</v>
      </c>
      <c r="B41" s="3" t="s">
        <v>374</v>
      </c>
      <c r="C41" s="3"/>
      <c r="D41" s="26" t="s">
        <v>147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134">
        <f t="shared" si="11"/>
        <v>0</v>
      </c>
      <c r="R41" s="134" t="e">
        <f t="shared" si="12"/>
        <v>#DIV/0!</v>
      </c>
      <c r="S41" s="148"/>
      <c r="T41" s="40">
        <f t="shared" si="8"/>
        <v>0</v>
      </c>
    </row>
    <row r="42" spans="1:20" s="77" customFormat="1" ht="25.4" customHeight="1">
      <c r="A42" s="3" t="s">
        <v>148</v>
      </c>
      <c r="B42" s="3" t="s">
        <v>374</v>
      </c>
      <c r="C42" s="3"/>
      <c r="D42" s="26" t="s">
        <v>149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134">
        <f t="shared" si="11"/>
        <v>0</v>
      </c>
      <c r="R42" s="134" t="e">
        <f t="shared" si="12"/>
        <v>#DIV/0!</v>
      </c>
      <c r="S42" s="148"/>
      <c r="T42" s="40">
        <f t="shared" si="8"/>
        <v>0</v>
      </c>
    </row>
    <row r="43" spans="1:20" s="77" customFormat="1" ht="25.4" customHeight="1">
      <c r="A43" s="3" t="s">
        <v>150</v>
      </c>
      <c r="B43" s="3" t="s">
        <v>374</v>
      </c>
      <c r="C43" s="3"/>
      <c r="D43" s="26" t="s">
        <v>151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134">
        <f t="shared" si="11"/>
        <v>0</v>
      </c>
      <c r="R43" s="134" t="e">
        <f t="shared" si="12"/>
        <v>#DIV/0!</v>
      </c>
      <c r="S43" s="148"/>
      <c r="T43" s="40">
        <f t="shared" si="8"/>
        <v>0</v>
      </c>
    </row>
    <row r="44" spans="1:20" s="77" customFormat="1" ht="25.4" customHeight="1">
      <c r="A44" s="3" t="s">
        <v>152</v>
      </c>
      <c r="B44" s="3" t="s">
        <v>374</v>
      </c>
      <c r="C44" s="3"/>
      <c r="D44" s="26" t="s">
        <v>153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134">
        <f t="shared" si="11"/>
        <v>0</v>
      </c>
      <c r="R44" s="134" t="e">
        <f t="shared" si="12"/>
        <v>#DIV/0!</v>
      </c>
      <c r="S44" s="148"/>
      <c r="T44" s="40">
        <f t="shared" si="8"/>
        <v>0</v>
      </c>
    </row>
    <row r="45" spans="1:20" s="77" customFormat="1" ht="25.4" customHeight="1">
      <c r="A45" s="3" t="s">
        <v>154</v>
      </c>
      <c r="B45" s="3" t="s">
        <v>374</v>
      </c>
      <c r="C45" s="3"/>
      <c r="D45" s="26" t="s">
        <v>155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134">
        <f t="shared" si="11"/>
        <v>0</v>
      </c>
      <c r="R45" s="134" t="e">
        <f t="shared" si="12"/>
        <v>#DIV/0!</v>
      </c>
      <c r="S45" s="148"/>
      <c r="T45" s="40">
        <f t="shared" si="8"/>
        <v>0</v>
      </c>
    </row>
    <row r="46" spans="1:20" s="77" customFormat="1" ht="25.4" customHeight="1">
      <c r="A46" s="3" t="s">
        <v>156</v>
      </c>
      <c r="B46" s="3" t="s">
        <v>374</v>
      </c>
      <c r="C46" s="3"/>
      <c r="D46" s="26" t="s">
        <v>157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134">
        <f t="shared" si="11"/>
        <v>0</v>
      </c>
      <c r="R46" s="134" t="e">
        <f t="shared" si="12"/>
        <v>#DIV/0!</v>
      </c>
      <c r="S46" s="148"/>
      <c r="T46" s="40">
        <f t="shared" si="8"/>
        <v>0</v>
      </c>
    </row>
    <row r="47" spans="1:20" s="77" customFormat="1" ht="25.4" customHeight="1">
      <c r="A47" s="3" t="s">
        <v>158</v>
      </c>
      <c r="B47" s="3" t="s">
        <v>374</v>
      </c>
      <c r="C47" s="3"/>
      <c r="D47" s="26" t="s">
        <v>159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134">
        <f t="shared" si="11"/>
        <v>0</v>
      </c>
      <c r="R47" s="134" t="e">
        <f t="shared" si="12"/>
        <v>#DIV/0!</v>
      </c>
      <c r="S47" s="148"/>
      <c r="T47" s="40"/>
    </row>
    <row r="48" spans="1:20" s="77" customFormat="1" ht="25.4" customHeight="1">
      <c r="A48" s="3" t="s">
        <v>160</v>
      </c>
      <c r="B48" s="3" t="s">
        <v>374</v>
      </c>
      <c r="C48" s="3"/>
      <c r="D48" s="26" t="s">
        <v>161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134">
        <f t="shared" si="11"/>
        <v>0</v>
      </c>
      <c r="R48" s="134" t="e">
        <f t="shared" si="12"/>
        <v>#DIV/0!</v>
      </c>
      <c r="S48" s="148"/>
      <c r="T48" s="40"/>
    </row>
    <row r="49" spans="1:20" s="77" customFormat="1" ht="25.4" customHeight="1">
      <c r="A49" s="3" t="s">
        <v>162</v>
      </c>
      <c r="B49" s="3" t="s">
        <v>374</v>
      </c>
      <c r="C49" s="3"/>
      <c r="D49" s="26" t="s">
        <v>163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134">
        <f t="shared" si="11"/>
        <v>0</v>
      </c>
      <c r="R49" s="134" t="e">
        <f t="shared" si="12"/>
        <v>#DIV/0!</v>
      </c>
      <c r="S49" s="148"/>
      <c r="T49" s="40"/>
    </row>
    <row r="50" spans="1:20" s="77" customFormat="1" ht="25.4" customHeight="1">
      <c r="A50" s="3" t="s">
        <v>164</v>
      </c>
      <c r="B50" s="3" t="s">
        <v>374</v>
      </c>
      <c r="C50" s="3"/>
      <c r="D50" s="26" t="s">
        <v>165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134">
        <f t="shared" si="11"/>
        <v>0</v>
      </c>
      <c r="R50" s="134" t="e">
        <f t="shared" si="12"/>
        <v>#DIV/0!</v>
      </c>
      <c r="S50" s="148"/>
      <c r="T50" s="40"/>
    </row>
    <row r="51" spans="1:20" s="77" customFormat="1" ht="25.4" customHeight="1">
      <c r="A51" s="3" t="s">
        <v>166</v>
      </c>
      <c r="B51" s="3" t="s">
        <v>374</v>
      </c>
      <c r="C51" s="3"/>
      <c r="D51" s="26" t="s">
        <v>167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134">
        <f t="shared" si="11"/>
        <v>0</v>
      </c>
      <c r="R51" s="134" t="e">
        <f t="shared" si="12"/>
        <v>#DIV/0!</v>
      </c>
      <c r="S51" s="148"/>
      <c r="T51" s="40">
        <f t="shared" si="8"/>
        <v>0</v>
      </c>
    </row>
    <row r="52" spans="1:20" s="77" customFormat="1" ht="25.4" customHeight="1">
      <c r="A52" s="3" t="s">
        <v>168</v>
      </c>
      <c r="B52" s="3" t="s">
        <v>374</v>
      </c>
      <c r="C52" s="3"/>
      <c r="D52" s="26" t="s">
        <v>169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134">
        <f t="shared" si="11"/>
        <v>0</v>
      </c>
      <c r="R52" s="134" t="e">
        <f t="shared" si="12"/>
        <v>#DIV/0!</v>
      </c>
      <c r="S52" s="148"/>
      <c r="T52" s="40">
        <f t="shared" si="8"/>
        <v>0</v>
      </c>
    </row>
    <row r="53" spans="1:20" s="77" customFormat="1" ht="25.4" customHeight="1">
      <c r="A53" s="3" t="s">
        <v>170</v>
      </c>
      <c r="B53" s="3" t="s">
        <v>374</v>
      </c>
      <c r="C53" s="3"/>
      <c r="D53" s="26" t="s">
        <v>171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134">
        <f t="shared" si="11"/>
        <v>0</v>
      </c>
      <c r="R53" s="134" t="e">
        <f t="shared" si="12"/>
        <v>#DIV/0!</v>
      </c>
      <c r="S53" s="148"/>
      <c r="T53" s="40">
        <f t="shared" si="8"/>
        <v>0</v>
      </c>
    </row>
    <row r="54" spans="1:20" s="77" customFormat="1" ht="25.4" customHeight="1">
      <c r="A54" s="3" t="s">
        <v>172</v>
      </c>
      <c r="B54" s="3" t="s">
        <v>374</v>
      </c>
      <c r="C54" s="3"/>
      <c r="D54" s="26" t="s">
        <v>173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134">
        <f t="shared" si="11"/>
        <v>0</v>
      </c>
      <c r="R54" s="134" t="e">
        <f t="shared" si="12"/>
        <v>#DIV/0!</v>
      </c>
      <c r="S54" s="148"/>
      <c r="T54" s="40">
        <f t="shared" si="8"/>
        <v>0</v>
      </c>
    </row>
    <row r="55" spans="1:20" s="77" customFormat="1" ht="25.4" customHeight="1">
      <c r="A55" s="3" t="s">
        <v>174</v>
      </c>
      <c r="B55" s="3" t="s">
        <v>374</v>
      </c>
      <c r="C55" s="3"/>
      <c r="D55" s="26" t="s">
        <v>175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134">
        <f t="shared" si="11"/>
        <v>0</v>
      </c>
      <c r="R55" s="134" t="e">
        <f t="shared" si="12"/>
        <v>#DIV/0!</v>
      </c>
      <c r="S55" s="148"/>
      <c r="T55" s="40">
        <f t="shared" si="8"/>
        <v>0</v>
      </c>
    </row>
    <row r="56" spans="1:20" s="77" customFormat="1" ht="25.4" customHeight="1">
      <c r="A56" s="3" t="s">
        <v>176</v>
      </c>
      <c r="B56" s="3" t="s">
        <v>374</v>
      </c>
      <c r="C56" s="3"/>
      <c r="D56" s="26" t="s">
        <v>177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34">
        <f t="shared" si="11"/>
        <v>0</v>
      </c>
      <c r="R56" s="134" t="e">
        <f t="shared" si="12"/>
        <v>#DIV/0!</v>
      </c>
      <c r="S56" s="148"/>
      <c r="T56" s="40">
        <f t="shared" si="8"/>
        <v>0</v>
      </c>
    </row>
    <row r="57" spans="1:20" s="77" customFormat="1" ht="25.4" customHeight="1">
      <c r="A57" s="3" t="s">
        <v>178</v>
      </c>
      <c r="B57" s="3" t="s">
        <v>374</v>
      </c>
      <c r="C57" s="3"/>
      <c r="D57" s="26" t="s">
        <v>179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34">
        <f t="shared" si="11"/>
        <v>0</v>
      </c>
      <c r="R57" s="134" t="e">
        <f t="shared" si="12"/>
        <v>#DIV/0!</v>
      </c>
      <c r="S57" s="148"/>
      <c r="T57" s="40">
        <f t="shared" si="8"/>
        <v>0</v>
      </c>
    </row>
    <row r="58" spans="1:20" s="77" customFormat="1" ht="25.4" customHeight="1">
      <c r="A58" s="3" t="s">
        <v>180</v>
      </c>
      <c r="B58" s="3" t="s">
        <v>374</v>
      </c>
      <c r="C58" s="3"/>
      <c r="D58" s="26" t="s">
        <v>181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134">
        <f t="shared" si="11"/>
        <v>0</v>
      </c>
      <c r="R58" s="134" t="e">
        <f t="shared" si="12"/>
        <v>#DIV/0!</v>
      </c>
      <c r="S58" s="148"/>
      <c r="T58" s="40">
        <f t="shared" si="8"/>
        <v>0</v>
      </c>
    </row>
    <row r="59" spans="1:20" s="77" customFormat="1" ht="25.4" customHeight="1">
      <c r="A59" s="3" t="s">
        <v>182</v>
      </c>
      <c r="B59" s="3" t="s">
        <v>374</v>
      </c>
      <c r="C59" s="3"/>
      <c r="D59" s="26" t="s">
        <v>183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134">
        <f t="shared" si="11"/>
        <v>0</v>
      </c>
      <c r="R59" s="134" t="e">
        <f t="shared" si="12"/>
        <v>#DIV/0!</v>
      </c>
      <c r="S59" s="148"/>
      <c r="T59" s="40"/>
    </row>
    <row r="60" spans="1:20" s="77" customFormat="1" ht="25.4" customHeight="1">
      <c r="A60" s="3" t="s">
        <v>184</v>
      </c>
      <c r="B60" s="3" t="s">
        <v>374</v>
      </c>
      <c r="C60" s="3"/>
      <c r="D60" s="26" t="s">
        <v>185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134">
        <f t="shared" si="11"/>
        <v>0</v>
      </c>
      <c r="R60" s="134" t="e">
        <f t="shared" si="12"/>
        <v>#DIV/0!</v>
      </c>
      <c r="S60" s="148"/>
      <c r="T60" s="40"/>
    </row>
    <row r="61" spans="1:20" s="77" customFormat="1" ht="25.4" customHeight="1">
      <c r="A61" s="3" t="s">
        <v>186</v>
      </c>
      <c r="B61" s="3" t="s">
        <v>374</v>
      </c>
      <c r="C61" s="3"/>
      <c r="D61" s="26" t="s">
        <v>187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134">
        <f t="shared" si="11"/>
        <v>0</v>
      </c>
      <c r="R61" s="134" t="e">
        <f t="shared" si="12"/>
        <v>#DIV/0!</v>
      </c>
      <c r="S61" s="148"/>
      <c r="T61" s="40"/>
    </row>
    <row r="62" spans="1:20" s="77" customFormat="1" ht="25.4" customHeight="1">
      <c r="A62" s="3" t="s">
        <v>188</v>
      </c>
      <c r="B62" s="3" t="s">
        <v>374</v>
      </c>
      <c r="C62" s="3"/>
      <c r="D62" s="26" t="s">
        <v>189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134">
        <f t="shared" si="11"/>
        <v>0</v>
      </c>
      <c r="R62" s="134" t="e">
        <f t="shared" si="12"/>
        <v>#DIV/0!</v>
      </c>
      <c r="S62" s="148"/>
      <c r="T62" s="40"/>
    </row>
    <row r="63" spans="1:20" s="77" customFormat="1" ht="25.4" customHeight="1">
      <c r="A63" s="3" t="s">
        <v>190</v>
      </c>
      <c r="B63" s="3" t="s">
        <v>374</v>
      </c>
      <c r="C63" s="3"/>
      <c r="D63" s="26" t="s">
        <v>191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134">
        <f t="shared" si="11"/>
        <v>0</v>
      </c>
      <c r="R63" s="134" t="e">
        <f t="shared" si="12"/>
        <v>#DIV/0!</v>
      </c>
      <c r="S63" s="148"/>
      <c r="T63" s="40"/>
    </row>
    <row r="64" spans="1:20" s="77" customFormat="1" ht="25.4" customHeight="1">
      <c r="A64" s="3" t="s">
        <v>192</v>
      </c>
      <c r="B64" s="3" t="s">
        <v>374</v>
      </c>
      <c r="C64" s="3"/>
      <c r="D64" s="26" t="s">
        <v>193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134">
        <f t="shared" si="11"/>
        <v>0</v>
      </c>
      <c r="R64" s="134" t="e">
        <f t="shared" si="12"/>
        <v>#DIV/0!</v>
      </c>
      <c r="S64" s="148"/>
      <c r="T64" s="40"/>
    </row>
    <row r="65" spans="1:20" s="77" customFormat="1" ht="25.4" customHeight="1">
      <c r="A65" s="3" t="s">
        <v>194</v>
      </c>
      <c r="B65" s="3" t="s">
        <v>374</v>
      </c>
      <c r="C65" s="3"/>
      <c r="D65" s="26" t="s">
        <v>195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134">
        <f t="shared" si="11"/>
        <v>0</v>
      </c>
      <c r="R65" s="134" t="e">
        <f t="shared" si="12"/>
        <v>#DIV/0!</v>
      </c>
      <c r="S65" s="148"/>
      <c r="T65" s="40"/>
    </row>
    <row r="66" spans="1:20" s="77" customFormat="1" ht="25.4" customHeight="1">
      <c r="A66" s="3" t="s">
        <v>196</v>
      </c>
      <c r="B66" s="3" t="s">
        <v>374</v>
      </c>
      <c r="C66" s="3"/>
      <c r="D66" s="26" t="s">
        <v>197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134">
        <f t="shared" si="11"/>
        <v>0</v>
      </c>
      <c r="R66" s="134" t="e">
        <f t="shared" si="12"/>
        <v>#DIV/0!</v>
      </c>
      <c r="S66" s="148"/>
      <c r="T66" s="40">
        <f t="shared" si="8"/>
        <v>0</v>
      </c>
    </row>
    <row r="67" spans="1:20" s="77" customFormat="1" ht="25.4" customHeight="1">
      <c r="A67" s="3" t="s">
        <v>198</v>
      </c>
      <c r="B67" s="3" t="s">
        <v>374</v>
      </c>
      <c r="C67" s="3"/>
      <c r="D67" s="26" t="s">
        <v>199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134">
        <f t="shared" si="11"/>
        <v>0</v>
      </c>
      <c r="R67" s="134" t="e">
        <f t="shared" si="12"/>
        <v>#DIV/0!</v>
      </c>
      <c r="S67" s="148"/>
      <c r="T67" s="40">
        <f t="shared" si="8"/>
        <v>0</v>
      </c>
    </row>
    <row r="68" spans="1:20" s="77" customFormat="1" ht="25.4" customHeight="1">
      <c r="A68" s="3" t="s">
        <v>200</v>
      </c>
      <c r="B68" s="3" t="s">
        <v>374</v>
      </c>
      <c r="C68" s="3"/>
      <c r="D68" s="26" t="s">
        <v>201</v>
      </c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134">
        <f t="shared" si="11"/>
        <v>0</v>
      </c>
      <c r="R68" s="134" t="e">
        <f t="shared" si="12"/>
        <v>#DIV/0!</v>
      </c>
      <c r="S68" s="148"/>
      <c r="T68" s="40">
        <f t="shared" si="8"/>
        <v>0</v>
      </c>
    </row>
    <row r="69" spans="1:20" s="77" customFormat="1" ht="25.4" customHeight="1">
      <c r="A69" s="3" t="s">
        <v>202</v>
      </c>
      <c r="B69" s="3" t="s">
        <v>374</v>
      </c>
      <c r="C69" s="3"/>
      <c r="D69" s="26" t="s">
        <v>203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134">
        <f t="shared" si="11"/>
        <v>0</v>
      </c>
      <c r="R69" s="134" t="e">
        <f t="shared" si="12"/>
        <v>#DIV/0!</v>
      </c>
      <c r="S69" s="148"/>
      <c r="T69" s="40">
        <f t="shared" si="8"/>
        <v>0</v>
      </c>
    </row>
    <row r="70" spans="1:20" s="77" customFormat="1" ht="25.4" customHeight="1">
      <c r="A70" s="3" t="s">
        <v>204</v>
      </c>
      <c r="B70" s="3" t="s">
        <v>374</v>
      </c>
      <c r="C70" s="3"/>
      <c r="D70" s="26" t="s">
        <v>205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134">
        <f t="shared" si="11"/>
        <v>0</v>
      </c>
      <c r="R70" s="134" t="e">
        <f t="shared" si="12"/>
        <v>#DIV/0!</v>
      </c>
      <c r="S70" s="148"/>
      <c r="T70" s="40">
        <f t="shared" si="8"/>
        <v>0</v>
      </c>
    </row>
    <row r="71" spans="1:20" s="77" customFormat="1" ht="25.4" customHeight="1">
      <c r="A71" s="3" t="s">
        <v>206</v>
      </c>
      <c r="B71" s="3" t="s">
        <v>374</v>
      </c>
      <c r="C71" s="3"/>
      <c r="D71" s="26" t="s">
        <v>207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134">
        <f t="shared" si="11"/>
        <v>0</v>
      </c>
      <c r="R71" s="134" t="e">
        <f t="shared" si="12"/>
        <v>#DIV/0!</v>
      </c>
      <c r="S71" s="148"/>
      <c r="T71" s="40"/>
    </row>
    <row r="72" spans="1:20" s="77" customFormat="1" ht="25.4" customHeight="1">
      <c r="A72" s="3" t="s">
        <v>208</v>
      </c>
      <c r="B72" s="3" t="s">
        <v>374</v>
      </c>
      <c r="C72" s="3"/>
      <c r="D72" s="26" t="s">
        <v>209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134">
        <f t="shared" si="11"/>
        <v>0</v>
      </c>
      <c r="R72" s="134" t="e">
        <f t="shared" si="12"/>
        <v>#DIV/0!</v>
      </c>
      <c r="S72" s="148"/>
      <c r="T72" s="40">
        <f t="shared" si="8"/>
        <v>0</v>
      </c>
    </row>
    <row r="73" spans="1:20" s="77" customFormat="1" ht="25.4" customHeight="1">
      <c r="A73" s="3" t="s">
        <v>210</v>
      </c>
      <c r="B73" s="3" t="s">
        <v>374</v>
      </c>
      <c r="C73" s="3"/>
      <c r="D73" s="26" t="s">
        <v>211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134">
        <f t="shared" si="11"/>
        <v>0</v>
      </c>
      <c r="R73" s="134" t="e">
        <f t="shared" si="12"/>
        <v>#DIV/0!</v>
      </c>
      <c r="S73" s="148"/>
      <c r="T73" s="40">
        <f t="shared" si="8"/>
        <v>0</v>
      </c>
    </row>
    <row r="74" spans="1:20" s="77" customFormat="1" ht="25.4" customHeight="1">
      <c r="A74" s="3" t="s">
        <v>212</v>
      </c>
      <c r="B74" s="3" t="s">
        <v>374</v>
      </c>
      <c r="C74" s="3"/>
      <c r="D74" s="26" t="s">
        <v>213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134">
        <f t="shared" si="11"/>
        <v>0</v>
      </c>
      <c r="R74" s="134" t="e">
        <f t="shared" si="12"/>
        <v>#DIV/0!</v>
      </c>
      <c r="S74" s="148"/>
      <c r="T74" s="40">
        <f t="shared" si="8"/>
        <v>0</v>
      </c>
    </row>
    <row r="75" spans="1:20" s="77" customFormat="1" ht="25.4" customHeight="1">
      <c r="A75" s="3" t="s">
        <v>214</v>
      </c>
      <c r="B75" s="3" t="s">
        <v>374</v>
      </c>
      <c r="C75" s="3"/>
      <c r="D75" s="26" t="s">
        <v>215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134">
        <f t="shared" si="11"/>
        <v>0</v>
      </c>
      <c r="R75" s="134" t="e">
        <f t="shared" si="12"/>
        <v>#DIV/0!</v>
      </c>
      <c r="S75" s="148"/>
      <c r="T75" s="40">
        <f t="shared" si="8"/>
        <v>0</v>
      </c>
    </row>
    <row r="76" spans="1:20" s="77" customFormat="1" ht="25.4" customHeight="1">
      <c r="A76" s="3" t="s">
        <v>216</v>
      </c>
      <c r="B76" s="3" t="s">
        <v>374</v>
      </c>
      <c r="C76" s="3"/>
      <c r="D76" s="26" t="s">
        <v>217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134">
        <f t="shared" si="11"/>
        <v>0</v>
      </c>
      <c r="R76" s="134" t="e">
        <f t="shared" si="12"/>
        <v>#DIV/0!</v>
      </c>
      <c r="S76" s="148"/>
      <c r="T76" s="40">
        <f t="shared" si="8"/>
        <v>0</v>
      </c>
    </row>
    <row r="77" spans="1:20" s="77" customFormat="1" ht="25.4" customHeight="1">
      <c r="A77" s="3" t="s">
        <v>218</v>
      </c>
      <c r="B77" s="3" t="s">
        <v>374</v>
      </c>
      <c r="C77" s="3"/>
      <c r="D77" s="26" t="s">
        <v>219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134">
        <f t="shared" si="11"/>
        <v>0</v>
      </c>
      <c r="R77" s="134" t="e">
        <f t="shared" si="12"/>
        <v>#DIV/0!</v>
      </c>
      <c r="S77" s="148"/>
      <c r="T77" s="40">
        <f t="shared" si="8"/>
        <v>0</v>
      </c>
    </row>
    <row r="78" spans="1:20" s="77" customFormat="1" ht="25.4" customHeight="1">
      <c r="A78" s="3" t="s">
        <v>220</v>
      </c>
      <c r="B78" s="3" t="s">
        <v>374</v>
      </c>
      <c r="C78" s="3"/>
      <c r="D78" s="26" t="s">
        <v>221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134">
        <f t="shared" si="11"/>
        <v>0</v>
      </c>
      <c r="R78" s="134" t="e">
        <f t="shared" si="12"/>
        <v>#DIV/0!</v>
      </c>
      <c r="S78" s="148"/>
      <c r="T78" s="40">
        <f t="shared" si="8"/>
        <v>0</v>
      </c>
    </row>
    <row r="79" spans="1:20" s="77" customFormat="1" ht="25.4" customHeight="1">
      <c r="A79" s="3" t="s">
        <v>222</v>
      </c>
      <c r="B79" s="3" t="s">
        <v>374</v>
      </c>
      <c r="C79" s="3"/>
      <c r="D79" s="26" t="s">
        <v>223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134">
        <f t="shared" si="11"/>
        <v>0</v>
      </c>
      <c r="R79" s="134" t="e">
        <f t="shared" si="12"/>
        <v>#DIV/0!</v>
      </c>
      <c r="S79" s="148"/>
      <c r="T79" s="40">
        <f t="shared" si="8"/>
        <v>0</v>
      </c>
    </row>
    <row r="80" spans="1:20" s="77" customFormat="1" ht="25.4" customHeight="1">
      <c r="A80" s="3" t="s">
        <v>224</v>
      </c>
      <c r="B80" s="3" t="s">
        <v>374</v>
      </c>
      <c r="C80" s="3"/>
      <c r="D80" s="26" t="s">
        <v>225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134">
        <f t="shared" si="11"/>
        <v>0</v>
      </c>
      <c r="R80" s="134" t="e">
        <f t="shared" si="12"/>
        <v>#DIV/0!</v>
      </c>
      <c r="S80" s="148"/>
      <c r="T80" s="40">
        <f t="shared" si="8"/>
        <v>0</v>
      </c>
    </row>
    <row r="81" spans="1:20" s="77" customFormat="1" ht="25.4" customHeight="1">
      <c r="A81" s="3" t="s">
        <v>226</v>
      </c>
      <c r="B81" s="3" t="s">
        <v>374</v>
      </c>
      <c r="C81" s="3"/>
      <c r="D81" s="26" t="s">
        <v>227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134">
        <f t="shared" si="11"/>
        <v>0</v>
      </c>
      <c r="R81" s="134" t="e">
        <f t="shared" si="12"/>
        <v>#DIV/0!</v>
      </c>
      <c r="S81" s="148"/>
      <c r="T81" s="40">
        <f t="shared" si="8"/>
        <v>0</v>
      </c>
    </row>
    <row r="82" spans="1:20" s="77" customFormat="1" ht="25.4" customHeight="1">
      <c r="A82" s="3" t="s">
        <v>228</v>
      </c>
      <c r="B82" s="3" t="s">
        <v>374</v>
      </c>
      <c r="C82" s="3"/>
      <c r="D82" s="26" t="s">
        <v>229</v>
      </c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134">
        <f t="shared" si="11"/>
        <v>0</v>
      </c>
      <c r="R82" s="134" t="e">
        <f t="shared" si="12"/>
        <v>#DIV/0!</v>
      </c>
      <c r="S82" s="148"/>
      <c r="T82" s="40">
        <f t="shared" si="8"/>
        <v>0</v>
      </c>
    </row>
    <row r="83" spans="1:20" s="77" customFormat="1" ht="25.4" customHeight="1">
      <c r="A83" s="3" t="s">
        <v>230</v>
      </c>
      <c r="B83" s="3" t="s">
        <v>374</v>
      </c>
      <c r="C83" s="3"/>
      <c r="D83" s="26" t="s">
        <v>231</v>
      </c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134">
        <f t="shared" si="11"/>
        <v>0</v>
      </c>
      <c r="R83" s="134" t="e">
        <f t="shared" si="12"/>
        <v>#DIV/0!</v>
      </c>
      <c r="S83" s="148"/>
      <c r="T83" s="40">
        <f t="shared" si="8"/>
        <v>0</v>
      </c>
    </row>
    <row r="84" spans="1:20" s="77" customFormat="1" ht="25.4" customHeight="1">
      <c r="A84" s="3" t="s">
        <v>232</v>
      </c>
      <c r="B84" s="3" t="s">
        <v>374</v>
      </c>
      <c r="C84" s="3"/>
      <c r="D84" s="26" t="s">
        <v>233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134">
        <f t="shared" si="11"/>
        <v>0</v>
      </c>
      <c r="R84" s="134" t="e">
        <f t="shared" si="12"/>
        <v>#DIV/0!</v>
      </c>
      <c r="S84" s="148"/>
      <c r="T84" s="40">
        <f t="shared" si="8"/>
        <v>0</v>
      </c>
    </row>
    <row r="85" spans="1:20" s="77" customFormat="1" ht="25.4" customHeight="1">
      <c r="A85" s="3" t="s">
        <v>234</v>
      </c>
      <c r="B85" s="3" t="s">
        <v>374</v>
      </c>
      <c r="C85" s="3"/>
      <c r="D85" s="26" t="s">
        <v>235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134">
        <f t="shared" si="11"/>
        <v>0</v>
      </c>
      <c r="R85" s="134" t="e">
        <f t="shared" si="12"/>
        <v>#DIV/0!</v>
      </c>
      <c r="S85" s="148"/>
      <c r="T85" s="40">
        <f t="shared" si="8"/>
        <v>0</v>
      </c>
    </row>
    <row r="86" spans="1:20" s="77" customFormat="1" ht="25.4" customHeight="1">
      <c r="A86" s="3" t="s">
        <v>422</v>
      </c>
      <c r="B86" s="3" t="s">
        <v>374</v>
      </c>
      <c r="C86" s="3"/>
      <c r="D86" s="26" t="s">
        <v>423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134">
        <f t="shared" si="11"/>
        <v>0</v>
      </c>
      <c r="R86" s="134" t="e">
        <f t="shared" si="12"/>
        <v>#DIV/0!</v>
      </c>
      <c r="S86" s="148"/>
      <c r="T86" s="40">
        <f t="shared" si="8"/>
        <v>0</v>
      </c>
    </row>
    <row r="87" spans="1:20" s="77" customFormat="1" ht="25.4" customHeight="1">
      <c r="A87" s="3" t="s">
        <v>236</v>
      </c>
      <c r="B87" s="3" t="s">
        <v>374</v>
      </c>
      <c r="C87" s="3"/>
      <c r="D87" s="26" t="s">
        <v>237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134">
        <f t="shared" si="11"/>
        <v>0</v>
      </c>
      <c r="R87" s="134" t="e">
        <f t="shared" si="12"/>
        <v>#DIV/0!</v>
      </c>
      <c r="S87" s="148"/>
      <c r="T87" s="40">
        <f t="shared" si="8"/>
        <v>0</v>
      </c>
    </row>
    <row r="88" spans="1:20" s="77" customFormat="1" ht="25.4" customHeight="1">
      <c r="A88" s="3" t="s">
        <v>238</v>
      </c>
      <c r="B88" s="3" t="s">
        <v>374</v>
      </c>
      <c r="C88" s="3"/>
      <c r="D88" s="26" t="s">
        <v>239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134">
        <f t="shared" si="11"/>
        <v>0</v>
      </c>
      <c r="R88" s="134" t="e">
        <f t="shared" si="12"/>
        <v>#DIV/0!</v>
      </c>
      <c r="S88" s="148"/>
      <c r="T88" s="40">
        <f t="shared" si="8"/>
        <v>0</v>
      </c>
    </row>
    <row r="89" spans="1:20" s="77" customFormat="1" ht="25.4" customHeight="1">
      <c r="A89" s="3" t="s">
        <v>240</v>
      </c>
      <c r="B89" s="3" t="s">
        <v>374</v>
      </c>
      <c r="C89" s="3"/>
      <c r="D89" s="26" t="s">
        <v>241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134">
        <f t="shared" si="11"/>
        <v>0</v>
      </c>
      <c r="R89" s="134" t="e">
        <f t="shared" si="12"/>
        <v>#DIV/0!</v>
      </c>
      <c r="S89" s="148"/>
      <c r="T89" s="40">
        <f t="shared" si="8"/>
        <v>0</v>
      </c>
    </row>
    <row r="90" spans="1:20" s="77" customFormat="1" ht="25.4" customHeight="1">
      <c r="A90" s="3" t="s">
        <v>242</v>
      </c>
      <c r="B90" s="3" t="s">
        <v>374</v>
      </c>
      <c r="C90" s="3"/>
      <c r="D90" s="26" t="s">
        <v>243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134">
        <f t="shared" si="11"/>
        <v>0</v>
      </c>
      <c r="R90" s="134" t="e">
        <f t="shared" si="12"/>
        <v>#DIV/0!</v>
      </c>
      <c r="S90" s="148"/>
      <c r="T90" s="40">
        <f t="shared" si="8"/>
        <v>0</v>
      </c>
    </row>
    <row r="91" spans="1:20" s="77" customFormat="1" ht="25.4" customHeight="1">
      <c r="A91" s="3" t="s">
        <v>244</v>
      </c>
      <c r="B91" s="3" t="s">
        <v>374</v>
      </c>
      <c r="C91" s="3"/>
      <c r="D91" s="26" t="s">
        <v>245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134">
        <f t="shared" si="11"/>
        <v>0</v>
      </c>
      <c r="R91" s="134" t="e">
        <f t="shared" si="12"/>
        <v>#DIV/0!</v>
      </c>
      <c r="S91" s="148"/>
      <c r="T91" s="40">
        <f t="shared" si="8"/>
        <v>0</v>
      </c>
    </row>
    <row r="92" spans="1:20" s="77" customFormat="1" ht="25.4" customHeight="1">
      <c r="A92" s="3" t="s">
        <v>246</v>
      </c>
      <c r="B92" s="3" t="s">
        <v>374</v>
      </c>
      <c r="C92" s="3"/>
      <c r="D92" s="26" t="s">
        <v>247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134">
        <f t="shared" si="11"/>
        <v>0</v>
      </c>
      <c r="R92" s="134" t="e">
        <f t="shared" si="12"/>
        <v>#DIV/0!</v>
      </c>
      <c r="S92" s="148"/>
      <c r="T92" s="40">
        <f t="shared" si="8"/>
        <v>0</v>
      </c>
    </row>
    <row r="93" spans="1:20" s="77" customFormat="1" ht="25.4" customHeight="1">
      <c r="A93" s="3" t="s">
        <v>248</v>
      </c>
      <c r="B93" s="3" t="s">
        <v>374</v>
      </c>
      <c r="C93" s="3"/>
      <c r="D93" s="26" t="s">
        <v>249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134">
        <f t="shared" si="11"/>
        <v>0</v>
      </c>
      <c r="R93" s="134" t="e">
        <f t="shared" si="12"/>
        <v>#DIV/0!</v>
      </c>
      <c r="S93" s="148"/>
      <c r="T93" s="40">
        <f t="shared" si="8"/>
        <v>0</v>
      </c>
    </row>
    <row r="94" spans="1:20" s="77" customFormat="1" ht="25.4" customHeight="1">
      <c r="A94" s="3" t="s">
        <v>250</v>
      </c>
      <c r="B94" s="3" t="s">
        <v>374</v>
      </c>
      <c r="C94" s="3"/>
      <c r="D94" s="26" t="s">
        <v>251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134">
        <f t="shared" si="11"/>
        <v>0</v>
      </c>
      <c r="R94" s="134" t="e">
        <f t="shared" si="12"/>
        <v>#DIV/0!</v>
      </c>
      <c r="S94" s="148"/>
      <c r="T94" s="40">
        <f t="shared" si="8"/>
        <v>0</v>
      </c>
    </row>
    <row r="95" spans="1:20" s="77" customFormat="1" ht="25.4" customHeight="1">
      <c r="A95" s="3" t="s">
        <v>252</v>
      </c>
      <c r="B95" s="3" t="s">
        <v>374</v>
      </c>
      <c r="C95" s="3"/>
      <c r="D95" s="26" t="s">
        <v>253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134">
        <f t="shared" si="11"/>
        <v>0</v>
      </c>
      <c r="R95" s="134" t="e">
        <f t="shared" si="12"/>
        <v>#DIV/0!</v>
      </c>
      <c r="S95" s="148"/>
      <c r="T95" s="40">
        <f t="shared" si="8"/>
        <v>0</v>
      </c>
    </row>
    <row r="96" spans="1:20" s="77" customFormat="1" ht="25.4" customHeight="1">
      <c r="A96" s="3" t="s">
        <v>254</v>
      </c>
      <c r="B96" s="3" t="s">
        <v>374</v>
      </c>
      <c r="C96" s="3"/>
      <c r="D96" s="26" t="s">
        <v>255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134">
        <f t="shared" si="11"/>
        <v>0</v>
      </c>
      <c r="R96" s="134" t="e">
        <f t="shared" si="12"/>
        <v>#DIV/0!</v>
      </c>
      <c r="S96" s="148"/>
      <c r="T96" s="40">
        <f t="shared" ref="T96:T108" si="13">-IF(Q96-S96=0,0,(Q96-S96)/S96)</f>
        <v>0</v>
      </c>
    </row>
    <row r="97" spans="1:20" s="77" customFormat="1" ht="25.4" customHeight="1">
      <c r="A97" s="3" t="s">
        <v>256</v>
      </c>
      <c r="B97" s="3" t="s">
        <v>374</v>
      </c>
      <c r="C97" s="3"/>
      <c r="D97" s="26" t="s">
        <v>257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134">
        <f t="shared" si="11"/>
        <v>0</v>
      </c>
      <c r="R97" s="134" t="e">
        <f t="shared" si="12"/>
        <v>#DIV/0!</v>
      </c>
      <c r="S97" s="148"/>
      <c r="T97" s="40">
        <f t="shared" si="13"/>
        <v>0</v>
      </c>
    </row>
    <row r="98" spans="1:20" s="77" customFormat="1" ht="25.4" customHeight="1">
      <c r="A98" s="3" t="s">
        <v>258</v>
      </c>
      <c r="B98" s="3" t="s">
        <v>374</v>
      </c>
      <c r="C98" s="3"/>
      <c r="D98" s="26" t="s">
        <v>259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134">
        <f t="shared" si="11"/>
        <v>0</v>
      </c>
      <c r="R98" s="134" t="e">
        <f t="shared" si="12"/>
        <v>#DIV/0!</v>
      </c>
      <c r="S98" s="148"/>
      <c r="T98" s="40">
        <f t="shared" si="13"/>
        <v>0</v>
      </c>
    </row>
    <row r="99" spans="1:20" s="77" customFormat="1" ht="25.4" customHeight="1">
      <c r="A99" s="3" t="s">
        <v>260</v>
      </c>
      <c r="B99" s="3" t="s">
        <v>374</v>
      </c>
      <c r="C99" s="3"/>
      <c r="D99" s="26" t="s">
        <v>261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134">
        <f t="shared" si="11"/>
        <v>0</v>
      </c>
      <c r="R99" s="134" t="e">
        <f t="shared" si="12"/>
        <v>#DIV/0!</v>
      </c>
      <c r="S99" s="148"/>
      <c r="T99" s="40"/>
    </row>
    <row r="100" spans="1:20" s="77" customFormat="1" ht="25.4" customHeight="1">
      <c r="A100" s="3" t="s">
        <v>262</v>
      </c>
      <c r="B100" s="3" t="s">
        <v>374</v>
      </c>
      <c r="C100" s="3"/>
      <c r="D100" s="26" t="s">
        <v>263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134">
        <f t="shared" si="11"/>
        <v>0</v>
      </c>
      <c r="R100" s="134" t="e">
        <f t="shared" si="12"/>
        <v>#DIV/0!</v>
      </c>
      <c r="S100" s="148"/>
      <c r="T100" s="40"/>
    </row>
    <row r="101" spans="1:20" s="77" customFormat="1" ht="25.4" customHeight="1">
      <c r="A101" s="3" t="s">
        <v>264</v>
      </c>
      <c r="B101" s="3" t="s">
        <v>374</v>
      </c>
      <c r="C101" s="3"/>
      <c r="D101" s="26" t="s">
        <v>265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134">
        <f t="shared" si="11"/>
        <v>0</v>
      </c>
      <c r="R101" s="134" t="e">
        <f t="shared" si="12"/>
        <v>#DIV/0!</v>
      </c>
      <c r="S101" s="148"/>
      <c r="T101" s="40"/>
    </row>
    <row r="102" spans="1:20" s="77" customFormat="1" ht="25.4" customHeight="1">
      <c r="A102" s="3" t="s">
        <v>266</v>
      </c>
      <c r="B102" s="3" t="s">
        <v>374</v>
      </c>
      <c r="C102" s="3"/>
      <c r="D102" s="26" t="s">
        <v>267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134">
        <f t="shared" si="11"/>
        <v>0</v>
      </c>
      <c r="R102" s="134" t="e">
        <f t="shared" si="12"/>
        <v>#DIV/0!</v>
      </c>
      <c r="S102" s="148"/>
      <c r="T102" s="40"/>
    </row>
    <row r="103" spans="1:20" s="77" customFormat="1" ht="25.4" customHeight="1">
      <c r="A103" s="3" t="s">
        <v>268</v>
      </c>
      <c r="B103" s="3" t="s">
        <v>374</v>
      </c>
      <c r="C103" s="3"/>
      <c r="D103" s="26" t="s">
        <v>269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134">
        <f t="shared" si="11"/>
        <v>0</v>
      </c>
      <c r="R103" s="134" t="e">
        <f t="shared" si="12"/>
        <v>#DIV/0!</v>
      </c>
      <c r="S103" s="148"/>
      <c r="T103" s="40"/>
    </row>
    <row r="104" spans="1:20" s="77" customFormat="1" ht="25.4" customHeight="1">
      <c r="A104" s="3" t="s">
        <v>270</v>
      </c>
      <c r="B104" s="3" t="s">
        <v>374</v>
      </c>
      <c r="C104" s="3"/>
      <c r="D104" s="26" t="s">
        <v>271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134">
        <f t="shared" ref="Q104:Q107" si="14">SUM(E104:P104)</f>
        <v>0</v>
      </c>
      <c r="R104" s="134" t="e">
        <f>Q104/$Q$117</f>
        <v>#DIV/0!</v>
      </c>
      <c r="S104" s="148"/>
      <c r="T104" s="40"/>
    </row>
    <row r="105" spans="1:20" s="77" customFormat="1" ht="25.4" customHeight="1">
      <c r="A105" s="3" t="s">
        <v>272</v>
      </c>
      <c r="B105" s="3" t="s">
        <v>374</v>
      </c>
      <c r="C105" s="3"/>
      <c r="D105" s="26" t="s">
        <v>273</v>
      </c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134">
        <f t="shared" si="14"/>
        <v>0</v>
      </c>
      <c r="R105" s="134" t="e">
        <f>Q105/$Q$117</f>
        <v>#DIV/0!</v>
      </c>
      <c r="S105" s="148"/>
      <c r="T105" s="40"/>
    </row>
    <row r="106" spans="1:20" s="77" customFormat="1" ht="25.4" customHeight="1">
      <c r="A106" s="3" t="s">
        <v>274</v>
      </c>
      <c r="B106" s="3" t="s">
        <v>374</v>
      </c>
      <c r="C106" s="3"/>
      <c r="D106" s="26" t="s">
        <v>275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134">
        <f t="shared" si="14"/>
        <v>0</v>
      </c>
      <c r="R106" s="134" t="e">
        <f>Q106/$Q$117</f>
        <v>#DIV/0!</v>
      </c>
      <c r="S106" s="148"/>
      <c r="T106" s="40"/>
    </row>
    <row r="107" spans="1:20" s="77" customFormat="1" ht="25.4" customHeight="1">
      <c r="A107" s="3"/>
      <c r="B107" s="3"/>
      <c r="C107" s="3"/>
      <c r="D107" s="26" t="s">
        <v>456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134">
        <f t="shared" si="14"/>
        <v>0</v>
      </c>
      <c r="R107" s="134" t="e">
        <f>Q107/$Q$117</f>
        <v>#DIV/0!</v>
      </c>
      <c r="S107" s="148"/>
      <c r="T107" s="40">
        <f t="shared" si="13"/>
        <v>0</v>
      </c>
    </row>
    <row r="108" spans="1:20" s="77" customFormat="1" ht="25.4" customHeight="1">
      <c r="A108" s="3"/>
      <c r="B108" s="3"/>
      <c r="C108" s="3"/>
      <c r="D108" s="19" t="s">
        <v>276</v>
      </c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>
        <f t="shared" ref="Q108" si="15">SUM(Q39:Q107)</f>
        <v>0</v>
      </c>
      <c r="R108" s="134" t="e">
        <f>Q108/$Q$117</f>
        <v>#DIV/0!</v>
      </c>
      <c r="S108" s="148"/>
      <c r="T108" s="40">
        <f t="shared" si="13"/>
        <v>0</v>
      </c>
    </row>
    <row r="109" spans="1:20" s="77" customFormat="1" ht="25.4" customHeight="1">
      <c r="A109" s="3"/>
      <c r="B109" s="3"/>
      <c r="C109" s="3"/>
      <c r="D109" s="19" t="s">
        <v>277</v>
      </c>
      <c r="E109" s="151">
        <f t="shared" ref="E109:Q109" si="16">E28-E34-E36-E108</f>
        <v>0</v>
      </c>
      <c r="F109" s="151">
        <f t="shared" si="16"/>
        <v>0</v>
      </c>
      <c r="G109" s="151">
        <f t="shared" si="16"/>
        <v>0</v>
      </c>
      <c r="H109" s="151">
        <f t="shared" si="16"/>
        <v>0</v>
      </c>
      <c r="I109" s="151">
        <f t="shared" si="16"/>
        <v>0</v>
      </c>
      <c r="J109" s="151">
        <f t="shared" si="16"/>
        <v>0</v>
      </c>
      <c r="K109" s="151">
        <f t="shared" si="16"/>
        <v>0</v>
      </c>
      <c r="L109" s="151">
        <f t="shared" si="16"/>
        <v>0</v>
      </c>
      <c r="M109" s="151">
        <f t="shared" si="16"/>
        <v>0</v>
      </c>
      <c r="N109" s="151">
        <f t="shared" si="16"/>
        <v>0</v>
      </c>
      <c r="O109" s="151">
        <f t="shared" si="16"/>
        <v>0</v>
      </c>
      <c r="P109" s="151">
        <f t="shared" si="16"/>
        <v>0</v>
      </c>
      <c r="Q109" s="151">
        <f t="shared" si="16"/>
        <v>0</v>
      </c>
      <c r="R109" s="151"/>
      <c r="S109" s="148"/>
      <c r="T109" s="40">
        <f t="shared" ref="T109:T125" si="17">IF(Q109-S109=0,0,(Q109-S109)/S109)</f>
        <v>0</v>
      </c>
    </row>
    <row r="110" spans="1:20" s="77" customFormat="1" ht="25.4" customHeight="1">
      <c r="A110" s="3"/>
      <c r="B110" s="3"/>
      <c r="C110" s="3"/>
      <c r="D110" s="19" t="s">
        <v>278</v>
      </c>
      <c r="E110" s="129">
        <f t="shared" ref="E110:Q110" si="18">IF(E109=0,0,E109/E28)</f>
        <v>0</v>
      </c>
      <c r="F110" s="129">
        <f t="shared" si="18"/>
        <v>0</v>
      </c>
      <c r="G110" s="129">
        <f t="shared" si="18"/>
        <v>0</v>
      </c>
      <c r="H110" s="129">
        <f t="shared" si="18"/>
        <v>0</v>
      </c>
      <c r="I110" s="129">
        <f t="shared" si="18"/>
        <v>0</v>
      </c>
      <c r="J110" s="129">
        <f t="shared" si="18"/>
        <v>0</v>
      </c>
      <c r="K110" s="129">
        <f t="shared" si="18"/>
        <v>0</v>
      </c>
      <c r="L110" s="129">
        <f t="shared" si="18"/>
        <v>0</v>
      </c>
      <c r="M110" s="129">
        <f t="shared" si="18"/>
        <v>0</v>
      </c>
      <c r="N110" s="129">
        <f t="shared" si="18"/>
        <v>0</v>
      </c>
      <c r="O110" s="129">
        <f t="shared" si="18"/>
        <v>0</v>
      </c>
      <c r="P110" s="129">
        <f t="shared" si="18"/>
        <v>0</v>
      </c>
      <c r="Q110" s="129">
        <f t="shared" si="18"/>
        <v>0</v>
      </c>
      <c r="R110" s="129"/>
      <c r="S110" s="40"/>
      <c r="T110" s="40">
        <f t="shared" si="17"/>
        <v>0</v>
      </c>
    </row>
    <row r="111" spans="1:20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152"/>
      <c r="S111" s="148"/>
      <c r="T111" s="40"/>
    </row>
    <row r="112" spans="1:20" s="77" customFormat="1" ht="25.4" customHeight="1">
      <c r="A112" s="50" t="s">
        <v>457</v>
      </c>
      <c r="B112" s="3" t="s">
        <v>374</v>
      </c>
      <c r="C112" s="3"/>
      <c r="D112" s="26" t="s">
        <v>440</v>
      </c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162">
        <f>SUM(E112:P112)</f>
        <v>0</v>
      </c>
      <c r="R112" s="162"/>
      <c r="S112" s="148"/>
      <c r="T112" s="40">
        <f t="shared" si="17"/>
        <v>0</v>
      </c>
    </row>
    <row r="113" spans="1:20" s="77" customFormat="1" ht="25.4" customHeight="1">
      <c r="A113" s="3" t="s">
        <v>458</v>
      </c>
      <c r="B113" s="3" t="s">
        <v>374</v>
      </c>
      <c r="C113" s="3"/>
      <c r="D113" s="26" t="s">
        <v>442</v>
      </c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162">
        <f t="shared" ref="Q113:Q116" si="19">SUM(E113:P113)</f>
        <v>0</v>
      </c>
      <c r="R113" s="162"/>
      <c r="S113" s="148"/>
      <c r="T113" s="40">
        <f t="shared" si="17"/>
        <v>0</v>
      </c>
    </row>
    <row r="114" spans="1:20" s="77" customFormat="1" ht="25.4" customHeight="1">
      <c r="A114" s="3" t="s">
        <v>459</v>
      </c>
      <c r="B114" s="3" t="s">
        <v>374</v>
      </c>
      <c r="C114" s="3"/>
      <c r="D114" s="26" t="s">
        <v>446</v>
      </c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62">
        <f t="shared" si="19"/>
        <v>0</v>
      </c>
      <c r="R114" s="162"/>
      <c r="S114" s="148"/>
      <c r="T114" s="40">
        <f t="shared" si="17"/>
        <v>0</v>
      </c>
    </row>
    <row r="115" spans="1:20" s="77" customFormat="1" ht="25.4" customHeight="1">
      <c r="A115" s="3" t="s">
        <v>460</v>
      </c>
      <c r="B115" s="3" t="s">
        <v>374</v>
      </c>
      <c r="C115" s="3"/>
      <c r="D115" s="26" t="s">
        <v>444</v>
      </c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162">
        <f t="shared" si="19"/>
        <v>0</v>
      </c>
      <c r="R115" s="162"/>
      <c r="S115" s="148"/>
      <c r="T115" s="40">
        <f t="shared" si="17"/>
        <v>0</v>
      </c>
    </row>
    <row r="116" spans="1:20" s="77" customFormat="1" ht="25.4" customHeight="1">
      <c r="A116" s="3" t="s">
        <v>461</v>
      </c>
      <c r="B116" s="3" t="s">
        <v>374</v>
      </c>
      <c r="C116" s="3"/>
      <c r="D116" s="26" t="s">
        <v>448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162">
        <f t="shared" si="19"/>
        <v>0</v>
      </c>
      <c r="R116" s="162"/>
      <c r="S116" s="148"/>
      <c r="T116" s="40">
        <f t="shared" si="17"/>
        <v>0</v>
      </c>
    </row>
    <row r="117" spans="1:20" s="77" customFormat="1" ht="25.4" customHeight="1">
      <c r="A117" s="3"/>
      <c r="B117" s="3"/>
      <c r="C117" s="3"/>
      <c r="D117" s="19" t="s">
        <v>427</v>
      </c>
      <c r="E117" s="160">
        <f>SUM(E112:E116)</f>
        <v>0</v>
      </c>
      <c r="F117" s="160">
        <f t="shared" ref="F117:Q117" si="20">SUM(F112:F116)</f>
        <v>0</v>
      </c>
      <c r="G117" s="160">
        <f t="shared" si="20"/>
        <v>0</v>
      </c>
      <c r="H117" s="160">
        <f t="shared" si="20"/>
        <v>0</v>
      </c>
      <c r="I117" s="160">
        <f t="shared" si="20"/>
        <v>0</v>
      </c>
      <c r="J117" s="160">
        <f t="shared" si="20"/>
        <v>0</v>
      </c>
      <c r="K117" s="160">
        <f t="shared" si="20"/>
        <v>0</v>
      </c>
      <c r="L117" s="160">
        <f t="shared" si="20"/>
        <v>0</v>
      </c>
      <c r="M117" s="160">
        <f t="shared" si="20"/>
        <v>0</v>
      </c>
      <c r="N117" s="160">
        <f t="shared" si="20"/>
        <v>0</v>
      </c>
      <c r="O117" s="160">
        <f t="shared" si="20"/>
        <v>0</v>
      </c>
      <c r="P117" s="160">
        <f t="shared" si="20"/>
        <v>0</v>
      </c>
      <c r="Q117" s="160">
        <f t="shared" si="20"/>
        <v>0</v>
      </c>
      <c r="R117" s="160"/>
      <c r="S117" s="148"/>
      <c r="T117" s="40">
        <f t="shared" si="17"/>
        <v>0</v>
      </c>
    </row>
    <row r="118" spans="1:20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152"/>
      <c r="S118" s="148"/>
      <c r="T118" s="40"/>
    </row>
    <row r="119" spans="1:20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152"/>
      <c r="S119" s="148"/>
      <c r="T119" s="40"/>
    </row>
    <row r="120" spans="1:20" s="77" customFormat="1" ht="25.4" customHeight="1">
      <c r="A120" s="3"/>
      <c r="B120" s="3"/>
      <c r="C120" s="3"/>
      <c r="D120" s="26" t="s">
        <v>440</v>
      </c>
      <c r="E120" s="61">
        <f t="shared" ref="E120:Q120" si="21">IF(E112=0,0,ROUND(E12/E112,2))</f>
        <v>0</v>
      </c>
      <c r="F120" s="61">
        <f t="shared" si="21"/>
        <v>0</v>
      </c>
      <c r="G120" s="61">
        <f t="shared" si="21"/>
        <v>0</v>
      </c>
      <c r="H120" s="61">
        <f t="shared" si="21"/>
        <v>0</v>
      </c>
      <c r="I120" s="61">
        <f t="shared" si="21"/>
        <v>0</v>
      </c>
      <c r="J120" s="61">
        <f t="shared" si="21"/>
        <v>0</v>
      </c>
      <c r="K120" s="61">
        <f t="shared" si="21"/>
        <v>0</v>
      </c>
      <c r="L120" s="61">
        <f t="shared" si="21"/>
        <v>0</v>
      </c>
      <c r="M120" s="61">
        <f t="shared" ref="M120:P124" si="22">IF(M112=0,0,ROUND(M12/M112,2))</f>
        <v>0</v>
      </c>
      <c r="N120" s="61">
        <f t="shared" si="22"/>
        <v>0</v>
      </c>
      <c r="O120" s="61">
        <f t="shared" si="22"/>
        <v>0</v>
      </c>
      <c r="P120" s="61">
        <f t="shared" si="22"/>
        <v>0</v>
      </c>
      <c r="Q120" s="61">
        <f t="shared" si="21"/>
        <v>0</v>
      </c>
      <c r="R120" s="163"/>
      <c r="S120" s="148"/>
      <c r="T120" s="40">
        <f t="shared" si="17"/>
        <v>0</v>
      </c>
    </row>
    <row r="121" spans="1:20" s="77" customFormat="1" ht="25.4" customHeight="1">
      <c r="A121" s="3"/>
      <c r="B121" s="3"/>
      <c r="C121" s="3"/>
      <c r="D121" s="26" t="s">
        <v>442</v>
      </c>
      <c r="E121" s="61">
        <f t="shared" ref="E121:Q121" si="23">IF(E113=0,0,ROUND(E13/E113,2))</f>
        <v>0</v>
      </c>
      <c r="F121" s="61">
        <f t="shared" si="23"/>
        <v>0</v>
      </c>
      <c r="G121" s="61">
        <f t="shared" si="23"/>
        <v>0</v>
      </c>
      <c r="H121" s="61">
        <f t="shared" si="23"/>
        <v>0</v>
      </c>
      <c r="I121" s="61">
        <f t="shared" si="23"/>
        <v>0</v>
      </c>
      <c r="J121" s="61">
        <f t="shared" si="23"/>
        <v>0</v>
      </c>
      <c r="K121" s="61">
        <f t="shared" si="23"/>
        <v>0</v>
      </c>
      <c r="L121" s="61">
        <f t="shared" si="23"/>
        <v>0</v>
      </c>
      <c r="M121" s="61">
        <f t="shared" si="22"/>
        <v>0</v>
      </c>
      <c r="N121" s="61">
        <f t="shared" si="22"/>
        <v>0</v>
      </c>
      <c r="O121" s="61">
        <f t="shared" si="22"/>
        <v>0</v>
      </c>
      <c r="P121" s="61">
        <f t="shared" si="22"/>
        <v>0</v>
      </c>
      <c r="Q121" s="61">
        <f t="shared" si="23"/>
        <v>0</v>
      </c>
      <c r="R121" s="163"/>
      <c r="S121" s="148"/>
      <c r="T121" s="40">
        <f t="shared" si="17"/>
        <v>0</v>
      </c>
    </row>
    <row r="122" spans="1:20" s="77" customFormat="1" ht="25.4" customHeight="1">
      <c r="A122" s="3"/>
      <c r="B122" s="3"/>
      <c r="C122" s="3"/>
      <c r="D122" s="26" t="s">
        <v>446</v>
      </c>
      <c r="E122" s="61">
        <f t="shared" ref="E122:Q122" si="24">IF(E114=0,0,ROUND(E14/E114,2))</f>
        <v>0</v>
      </c>
      <c r="F122" s="61">
        <f t="shared" si="24"/>
        <v>0</v>
      </c>
      <c r="G122" s="61">
        <f t="shared" si="24"/>
        <v>0</v>
      </c>
      <c r="H122" s="61">
        <f t="shared" si="24"/>
        <v>0</v>
      </c>
      <c r="I122" s="61">
        <f t="shared" si="24"/>
        <v>0</v>
      </c>
      <c r="J122" s="61">
        <f t="shared" si="24"/>
        <v>0</v>
      </c>
      <c r="K122" s="61">
        <f t="shared" si="24"/>
        <v>0</v>
      </c>
      <c r="L122" s="61">
        <f t="shared" si="24"/>
        <v>0</v>
      </c>
      <c r="M122" s="61">
        <f t="shared" si="22"/>
        <v>0</v>
      </c>
      <c r="N122" s="61">
        <f t="shared" si="22"/>
        <v>0</v>
      </c>
      <c r="O122" s="61">
        <f t="shared" si="22"/>
        <v>0</v>
      </c>
      <c r="P122" s="61">
        <f t="shared" si="22"/>
        <v>0</v>
      </c>
      <c r="Q122" s="61">
        <f t="shared" si="24"/>
        <v>0</v>
      </c>
      <c r="R122" s="163"/>
      <c r="S122" s="148"/>
      <c r="T122" s="40">
        <f t="shared" si="17"/>
        <v>0</v>
      </c>
    </row>
    <row r="123" spans="1:20" s="77" customFormat="1" ht="25.4" customHeight="1">
      <c r="A123" s="3"/>
      <c r="B123" s="3"/>
      <c r="C123" s="3"/>
      <c r="D123" s="26" t="s">
        <v>444</v>
      </c>
      <c r="E123" s="61">
        <f t="shared" ref="E123:Q123" si="25">IF(E115=0,0,ROUND(E15/E115,2))</f>
        <v>0</v>
      </c>
      <c r="F123" s="61">
        <f t="shared" si="25"/>
        <v>0</v>
      </c>
      <c r="G123" s="61">
        <f t="shared" si="25"/>
        <v>0</v>
      </c>
      <c r="H123" s="61">
        <f t="shared" si="25"/>
        <v>0</v>
      </c>
      <c r="I123" s="61">
        <f t="shared" si="25"/>
        <v>0</v>
      </c>
      <c r="J123" s="61">
        <f t="shared" si="25"/>
        <v>0</v>
      </c>
      <c r="K123" s="61">
        <f t="shared" si="25"/>
        <v>0</v>
      </c>
      <c r="L123" s="61">
        <f t="shared" si="25"/>
        <v>0</v>
      </c>
      <c r="M123" s="61">
        <f t="shared" si="22"/>
        <v>0</v>
      </c>
      <c r="N123" s="61">
        <f t="shared" si="22"/>
        <v>0</v>
      </c>
      <c r="O123" s="61">
        <f t="shared" si="22"/>
        <v>0</v>
      </c>
      <c r="P123" s="61">
        <f t="shared" si="22"/>
        <v>0</v>
      </c>
      <c r="Q123" s="61">
        <f t="shared" si="25"/>
        <v>0</v>
      </c>
      <c r="R123" s="163"/>
      <c r="S123" s="148"/>
      <c r="T123" s="40">
        <f t="shared" si="17"/>
        <v>0</v>
      </c>
    </row>
    <row r="124" spans="1:20" s="77" customFormat="1" ht="25.4" customHeight="1">
      <c r="A124" s="3"/>
      <c r="B124" s="3"/>
      <c r="C124" s="3"/>
      <c r="D124" s="26" t="s">
        <v>448</v>
      </c>
      <c r="E124" s="61">
        <f t="shared" ref="E124:Q124" si="26">IF(E116=0,0,ROUND(E16/E116,2))</f>
        <v>0</v>
      </c>
      <c r="F124" s="61">
        <f t="shared" si="26"/>
        <v>0</v>
      </c>
      <c r="G124" s="61">
        <f t="shared" si="26"/>
        <v>0</v>
      </c>
      <c r="H124" s="61">
        <f t="shared" si="26"/>
        <v>0</v>
      </c>
      <c r="I124" s="61">
        <f t="shared" si="26"/>
        <v>0</v>
      </c>
      <c r="J124" s="61">
        <f t="shared" si="26"/>
        <v>0</v>
      </c>
      <c r="K124" s="61">
        <f t="shared" si="26"/>
        <v>0</v>
      </c>
      <c r="L124" s="61">
        <f t="shared" si="26"/>
        <v>0</v>
      </c>
      <c r="M124" s="61">
        <f t="shared" si="22"/>
        <v>0</v>
      </c>
      <c r="N124" s="61">
        <f t="shared" si="22"/>
        <v>0</v>
      </c>
      <c r="O124" s="61">
        <f t="shared" si="22"/>
        <v>0</v>
      </c>
      <c r="P124" s="61">
        <f t="shared" si="22"/>
        <v>0</v>
      </c>
      <c r="Q124" s="61">
        <f t="shared" si="26"/>
        <v>0</v>
      </c>
      <c r="R124" s="163"/>
      <c r="S124" s="148"/>
      <c r="T124" s="40">
        <f t="shared" si="17"/>
        <v>0</v>
      </c>
    </row>
    <row r="125" spans="1:20" s="77" customFormat="1" ht="25.4" customHeight="1">
      <c r="A125" s="3"/>
      <c r="B125" s="3"/>
      <c r="C125" s="3"/>
      <c r="D125" s="19" t="s">
        <v>429</v>
      </c>
      <c r="E125" s="161">
        <f>IF(E117=0,0,ROUND(E17/E117,2))</f>
        <v>0</v>
      </c>
      <c r="F125" s="161">
        <f t="shared" ref="F125:Q125" si="27">IF(F117=0,0,ROUND(F17/F117,2))</f>
        <v>0</v>
      </c>
      <c r="G125" s="161">
        <f t="shared" si="27"/>
        <v>0</v>
      </c>
      <c r="H125" s="161">
        <f t="shared" si="27"/>
        <v>0</v>
      </c>
      <c r="I125" s="161">
        <f t="shared" si="27"/>
        <v>0</v>
      </c>
      <c r="J125" s="161">
        <f t="shared" si="27"/>
        <v>0</v>
      </c>
      <c r="K125" s="161">
        <f t="shared" si="27"/>
        <v>0</v>
      </c>
      <c r="L125" s="161">
        <f t="shared" si="27"/>
        <v>0</v>
      </c>
      <c r="M125" s="161">
        <f t="shared" si="27"/>
        <v>0</v>
      </c>
      <c r="N125" s="161">
        <f t="shared" si="27"/>
        <v>0</v>
      </c>
      <c r="O125" s="161">
        <f t="shared" si="27"/>
        <v>0</v>
      </c>
      <c r="P125" s="161">
        <f t="shared" si="27"/>
        <v>0</v>
      </c>
      <c r="Q125" s="161">
        <f t="shared" si="27"/>
        <v>0</v>
      </c>
      <c r="R125" s="164"/>
      <c r="S125" s="148"/>
      <c r="T125" s="40">
        <f t="shared" si="17"/>
        <v>0</v>
      </c>
    </row>
    <row r="126" spans="1:20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152"/>
      <c r="S126" s="148"/>
      <c r="T126" s="40"/>
    </row>
    <row r="127" spans="1:20" s="77" customFormat="1" ht="25.4" customHeight="1">
      <c r="A127" s="3"/>
      <c r="B127" s="3"/>
      <c r="C127" s="3"/>
      <c r="D127" s="19" t="s">
        <v>430</v>
      </c>
      <c r="E127" s="151">
        <f>IF(E117=0,0,ROUND((E34+E36+E108)/E117,2))</f>
        <v>0</v>
      </c>
      <c r="F127" s="151">
        <f t="shared" ref="F127:Q127" si="28">IF(F117=0,0,ROUND((F34+F36+F108)/F117,2))</f>
        <v>0</v>
      </c>
      <c r="G127" s="151">
        <f t="shared" si="28"/>
        <v>0</v>
      </c>
      <c r="H127" s="151">
        <f t="shared" si="28"/>
        <v>0</v>
      </c>
      <c r="I127" s="151">
        <f t="shared" si="28"/>
        <v>0</v>
      </c>
      <c r="J127" s="151">
        <f t="shared" si="28"/>
        <v>0</v>
      </c>
      <c r="K127" s="151">
        <f t="shared" si="28"/>
        <v>0</v>
      </c>
      <c r="L127" s="151">
        <f t="shared" si="28"/>
        <v>0</v>
      </c>
      <c r="M127" s="151">
        <f t="shared" si="28"/>
        <v>0</v>
      </c>
      <c r="N127" s="151">
        <f t="shared" si="28"/>
        <v>0</v>
      </c>
      <c r="O127" s="151">
        <f t="shared" si="28"/>
        <v>0</v>
      </c>
      <c r="P127" s="151">
        <f t="shared" si="28"/>
        <v>0</v>
      </c>
      <c r="Q127" s="151">
        <f t="shared" si="28"/>
        <v>0</v>
      </c>
      <c r="R127" s="151"/>
      <c r="S127" s="148"/>
      <c r="T127" s="40">
        <f>-IF(Q127-S127=0,0,(Q127-S127)/S127)</f>
        <v>0</v>
      </c>
    </row>
    <row r="128" spans="1:20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152"/>
      <c r="S128" s="148"/>
      <c r="T128" s="40"/>
    </row>
    <row r="129" spans="1:20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152"/>
      <c r="S129" s="148"/>
      <c r="T129" s="40"/>
    </row>
    <row r="130" spans="1:20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152"/>
      <c r="S130" s="148"/>
      <c r="T130" s="40"/>
    </row>
    <row r="131" spans="1:20" s="77" customFormat="1" ht="25.4" customHeight="1">
      <c r="A131" s="3" t="s">
        <v>297</v>
      </c>
      <c r="B131" s="3" t="s">
        <v>374</v>
      </c>
      <c r="C131" s="3"/>
      <c r="D131" s="3" t="s">
        <v>299</v>
      </c>
      <c r="E131" s="134">
        <f>Summary!E$368+Summary!E$703</f>
        <v>0</v>
      </c>
      <c r="F131" s="134">
        <f>Summary!F$368+Summary!F$703</f>
        <v>0</v>
      </c>
      <c r="G131" s="134">
        <f>Summary!G$368+Summary!G$703</f>
        <v>0</v>
      </c>
      <c r="H131" s="134">
        <f>Summary!H$368+Summary!H$703</f>
        <v>0</v>
      </c>
      <c r="I131" s="134">
        <f>Summary!I$368+Summary!I$703</f>
        <v>0</v>
      </c>
      <c r="J131" s="134">
        <f>Summary!J$368+Summary!J$703</f>
        <v>0</v>
      </c>
      <c r="K131" s="134">
        <f>Summary!K$368+Summary!K$703</f>
        <v>0</v>
      </c>
      <c r="L131" s="134">
        <f>Summary!L$368+Summary!L$703</f>
        <v>0</v>
      </c>
      <c r="M131" s="134">
        <f>Summary!M$368+Summary!M$703</f>
        <v>0</v>
      </c>
      <c r="N131" s="134">
        <f>Summary!N$368+Summary!N$703</f>
        <v>0</v>
      </c>
      <c r="O131" s="134">
        <f>Summary!O$368+Summary!O$703</f>
        <v>0</v>
      </c>
      <c r="P131" s="134">
        <f>Summary!P$368+Summary!P$703</f>
        <v>0</v>
      </c>
      <c r="Q131" s="134">
        <f>SUM(E131:P131)</f>
        <v>0</v>
      </c>
      <c r="R131" s="134" t="e">
        <f>Q131/$Q$117</f>
        <v>#DIV/0!</v>
      </c>
      <c r="S131" s="148"/>
      <c r="T131" s="40">
        <f>-IF(Q131-S131=0,0,(Q131-S131)/S131)</f>
        <v>0</v>
      </c>
    </row>
    <row r="132" spans="1:20" s="77" customFormat="1" ht="25.4" customHeight="1">
      <c r="A132" s="50" t="s">
        <v>300</v>
      </c>
      <c r="B132" s="3" t="s">
        <v>374</v>
      </c>
      <c r="C132" s="3"/>
      <c r="D132" s="3" t="s">
        <v>434</v>
      </c>
      <c r="E132" s="61">
        <f>Summary!E$369</f>
        <v>0</v>
      </c>
      <c r="F132" s="61">
        <f>Summary!F$369</f>
        <v>0</v>
      </c>
      <c r="G132" s="61">
        <f>Summary!G$369</f>
        <v>0</v>
      </c>
      <c r="H132" s="61">
        <f>Summary!H$369</f>
        <v>0</v>
      </c>
      <c r="I132" s="61">
        <f>Summary!I$369</f>
        <v>0</v>
      </c>
      <c r="J132" s="61">
        <f>Summary!J$369</f>
        <v>0</v>
      </c>
      <c r="K132" s="61">
        <f>Summary!K$369</f>
        <v>0</v>
      </c>
      <c r="L132" s="61">
        <f>Summary!L$369</f>
        <v>0</v>
      </c>
      <c r="M132" s="61">
        <f>Summary!M$369</f>
        <v>0</v>
      </c>
      <c r="N132" s="61">
        <f>Summary!N$369</f>
        <v>0</v>
      </c>
      <c r="O132" s="61">
        <f>Summary!O$369</f>
        <v>0</v>
      </c>
      <c r="P132" s="61">
        <f>Summary!P$369</f>
        <v>0</v>
      </c>
      <c r="Q132" s="134">
        <f t="shared" ref="Q132:Q133" si="29">SUM(E132:P132)</f>
        <v>0</v>
      </c>
      <c r="R132" s="134" t="e">
        <f>Q132/$Q$117</f>
        <v>#DIV/0!</v>
      </c>
      <c r="S132" s="148"/>
      <c r="T132" s="40">
        <f t="shared" ref="T132:T165" si="30">-IF(Q132-S132=0,0,(Q132-S132)/S132)</f>
        <v>0</v>
      </c>
    </row>
    <row r="133" spans="1:20" s="77" customFormat="1" ht="25.4" customHeight="1">
      <c r="A133" s="50" t="s">
        <v>300</v>
      </c>
      <c r="B133" s="3" t="s">
        <v>374</v>
      </c>
      <c r="C133" s="3"/>
      <c r="D133" s="3" t="s">
        <v>436</v>
      </c>
      <c r="E133" s="61">
        <f>Summary!E$704</f>
        <v>0</v>
      </c>
      <c r="F133" s="61">
        <f>Summary!F$704</f>
        <v>0</v>
      </c>
      <c r="G133" s="61">
        <f>Summary!G$704</f>
        <v>0</v>
      </c>
      <c r="H133" s="61">
        <f>Summary!H$704</f>
        <v>0</v>
      </c>
      <c r="I133" s="61">
        <f>Summary!I$704</f>
        <v>0</v>
      </c>
      <c r="J133" s="61">
        <f>Summary!J$704</f>
        <v>0</v>
      </c>
      <c r="K133" s="61">
        <f>Summary!K$704</f>
        <v>0</v>
      </c>
      <c r="L133" s="61">
        <f>Summary!L$704</f>
        <v>0</v>
      </c>
      <c r="M133" s="61">
        <f>Summary!M$704</f>
        <v>0</v>
      </c>
      <c r="N133" s="61">
        <f>Summary!N$704</f>
        <v>0</v>
      </c>
      <c r="O133" s="61">
        <f>Summary!O$704</f>
        <v>0</v>
      </c>
      <c r="P133" s="61">
        <f>Summary!P$704</f>
        <v>0</v>
      </c>
      <c r="Q133" s="134">
        <f t="shared" si="29"/>
        <v>0</v>
      </c>
      <c r="R133" s="134" t="e">
        <f>Q133/$Q$117</f>
        <v>#DIV/0!</v>
      </c>
      <c r="S133" s="148"/>
      <c r="T133" s="40">
        <f t="shared" si="30"/>
        <v>0</v>
      </c>
    </row>
    <row r="134" spans="1:20" s="77" customFormat="1" ht="25.4" customHeight="1">
      <c r="A134" s="3"/>
      <c r="B134" s="3"/>
      <c r="C134" s="3"/>
      <c r="D134" s="19" t="s">
        <v>437</v>
      </c>
      <c r="E134" s="151">
        <f>SUM(E131:E133)</f>
        <v>0</v>
      </c>
      <c r="F134" s="151">
        <f t="shared" ref="F134:P134" si="31">SUM(F131:F133)</f>
        <v>0</v>
      </c>
      <c r="G134" s="151">
        <f t="shared" si="31"/>
        <v>0</v>
      </c>
      <c r="H134" s="151">
        <f t="shared" si="31"/>
        <v>0</v>
      </c>
      <c r="I134" s="151">
        <f t="shared" si="31"/>
        <v>0</v>
      </c>
      <c r="J134" s="151">
        <f t="shared" si="31"/>
        <v>0</v>
      </c>
      <c r="K134" s="151">
        <f t="shared" si="31"/>
        <v>0</v>
      </c>
      <c r="L134" s="151">
        <f t="shared" si="31"/>
        <v>0</v>
      </c>
      <c r="M134" s="151">
        <f t="shared" si="31"/>
        <v>0</v>
      </c>
      <c r="N134" s="151">
        <f t="shared" si="31"/>
        <v>0</v>
      </c>
      <c r="O134" s="151">
        <f t="shared" si="31"/>
        <v>0</v>
      </c>
      <c r="P134" s="151">
        <f t="shared" si="31"/>
        <v>0</v>
      </c>
      <c r="Q134" s="151">
        <f t="shared" ref="Q134" si="32">SUM(Q131:Q133)</f>
        <v>0</v>
      </c>
      <c r="R134" s="134" t="e">
        <f>Q134/$Q$117</f>
        <v>#DIV/0!</v>
      </c>
      <c r="S134" s="148"/>
      <c r="T134" s="40">
        <f t="shared" si="30"/>
        <v>0</v>
      </c>
    </row>
    <row r="135" spans="1:20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152"/>
      <c r="M135" s="152"/>
      <c r="S135" s="148"/>
      <c r="T135" s="40"/>
    </row>
    <row r="136" spans="1:20" s="77" customFormat="1" ht="25.4" customHeight="1">
      <c r="A136" s="3" t="s">
        <v>308</v>
      </c>
      <c r="B136" s="3" t="s">
        <v>374</v>
      </c>
      <c r="C136" s="3"/>
      <c r="D136" s="26" t="s">
        <v>309</v>
      </c>
      <c r="E136" s="61">
        <f>Summary!E$370+Summary!E$705</f>
        <v>0</v>
      </c>
      <c r="F136" s="61">
        <f>Summary!F$370+Summary!F$705</f>
        <v>0</v>
      </c>
      <c r="G136" s="61">
        <f>Summary!G$370+Summary!G$705</f>
        <v>0</v>
      </c>
      <c r="H136" s="61">
        <f>Summary!H$370+Summary!H$705</f>
        <v>0</v>
      </c>
      <c r="I136" s="61">
        <f>Summary!I$370+Summary!I$705</f>
        <v>0</v>
      </c>
      <c r="J136" s="61">
        <f>Summary!J$370+Summary!J$705</f>
        <v>0</v>
      </c>
      <c r="K136" s="61">
        <f>Summary!K$370+Summary!K$705</f>
        <v>0</v>
      </c>
      <c r="L136" s="61">
        <f>Summary!L$370+Summary!L$705</f>
        <v>0</v>
      </c>
      <c r="M136" s="61">
        <f>Summary!M$370+Summary!M$705</f>
        <v>0</v>
      </c>
      <c r="N136" s="61">
        <f>Summary!N$370+Summary!N$705</f>
        <v>0</v>
      </c>
      <c r="O136" s="61">
        <f>Summary!O$370+Summary!O$705</f>
        <v>0</v>
      </c>
      <c r="P136" s="61">
        <f>Summary!P$370+Summary!P$705</f>
        <v>0</v>
      </c>
      <c r="Q136" s="134">
        <f>SUM(E136:P136)</f>
        <v>0</v>
      </c>
      <c r="R136" s="134" t="e">
        <f t="shared" ref="R136:R143" si="33">Q136/$Q$117</f>
        <v>#DIV/0!</v>
      </c>
      <c r="S136" s="148"/>
      <c r="T136" s="40">
        <f t="shared" si="30"/>
        <v>0</v>
      </c>
    </row>
    <row r="137" spans="1:20" s="77" customFormat="1" ht="25.4" customHeight="1">
      <c r="A137" s="3" t="s">
        <v>310</v>
      </c>
      <c r="B137" s="3" t="s">
        <v>374</v>
      </c>
      <c r="C137" s="3"/>
      <c r="D137" s="26" t="s">
        <v>311</v>
      </c>
      <c r="E137" s="61">
        <f>Summary!E$706+Summary!E$371</f>
        <v>0</v>
      </c>
      <c r="F137" s="61">
        <f>Summary!F$706+Summary!F$371</f>
        <v>0</v>
      </c>
      <c r="G137" s="61">
        <f>Summary!G$706+Summary!G$371</f>
        <v>0</v>
      </c>
      <c r="H137" s="61">
        <f>Summary!H$706+Summary!H$371</f>
        <v>0</v>
      </c>
      <c r="I137" s="61">
        <f>Summary!I$706+Summary!I$371</f>
        <v>0</v>
      </c>
      <c r="J137" s="61">
        <f>Summary!J$706+Summary!J$371</f>
        <v>0</v>
      </c>
      <c r="K137" s="61">
        <f>Summary!K$706+Summary!K$371</f>
        <v>0</v>
      </c>
      <c r="L137" s="61">
        <f>Summary!L$706+Summary!L$371</f>
        <v>0</v>
      </c>
      <c r="M137" s="61">
        <f>Summary!M$706+Summary!M$371</f>
        <v>0</v>
      </c>
      <c r="N137" s="61">
        <f>Summary!N$706+Summary!N$371</f>
        <v>0</v>
      </c>
      <c r="O137" s="61">
        <f>Summary!O$706+Summary!O$371</f>
        <v>0</v>
      </c>
      <c r="P137" s="61">
        <f>Summary!P$706+Summary!P$371</f>
        <v>0</v>
      </c>
      <c r="Q137" s="134">
        <f t="shared" ref="Q137:Q140" si="34">SUM(E137:P137)</f>
        <v>0</v>
      </c>
      <c r="R137" s="134" t="e">
        <f t="shared" si="33"/>
        <v>#DIV/0!</v>
      </c>
      <c r="S137" s="148"/>
      <c r="T137" s="40">
        <f t="shared" si="30"/>
        <v>0</v>
      </c>
    </row>
    <row r="138" spans="1:20" s="77" customFormat="1" ht="25.4" customHeight="1">
      <c r="A138" s="3" t="s">
        <v>312</v>
      </c>
      <c r="B138" s="3" t="s">
        <v>374</v>
      </c>
      <c r="C138" s="3"/>
      <c r="D138" s="26" t="s">
        <v>313</v>
      </c>
      <c r="E138" s="61">
        <f>Summary!E$372+Summary!E$707</f>
        <v>0</v>
      </c>
      <c r="F138" s="61">
        <f>Summary!F$372+Summary!F$707</f>
        <v>0</v>
      </c>
      <c r="G138" s="61">
        <f>Summary!G$372+Summary!G$707</f>
        <v>0</v>
      </c>
      <c r="H138" s="61">
        <f>Summary!H$372+Summary!H$707</f>
        <v>0</v>
      </c>
      <c r="I138" s="61">
        <f>Summary!I$372+Summary!I$707</f>
        <v>0</v>
      </c>
      <c r="J138" s="61">
        <f>Summary!J$372+Summary!J$707</f>
        <v>0</v>
      </c>
      <c r="K138" s="61">
        <f>Summary!K$372+Summary!K$707</f>
        <v>0</v>
      </c>
      <c r="L138" s="61">
        <f>Summary!L$372+Summary!L$707</f>
        <v>0</v>
      </c>
      <c r="M138" s="61">
        <f>Summary!M$372+Summary!M$707</f>
        <v>0</v>
      </c>
      <c r="N138" s="61">
        <f>Summary!N$372+Summary!N$707</f>
        <v>0</v>
      </c>
      <c r="O138" s="61">
        <f>Summary!O$372+Summary!O$707</f>
        <v>0</v>
      </c>
      <c r="P138" s="61">
        <f>Summary!P$372+Summary!P$707</f>
        <v>0</v>
      </c>
      <c r="Q138" s="134">
        <f t="shared" si="34"/>
        <v>0</v>
      </c>
      <c r="R138" s="134" t="e">
        <f t="shared" si="33"/>
        <v>#DIV/0!</v>
      </c>
      <c r="S138" s="148"/>
      <c r="T138" s="40">
        <f t="shared" si="30"/>
        <v>0</v>
      </c>
    </row>
    <row r="139" spans="1:20" s="77" customFormat="1" ht="25.4" customHeight="1">
      <c r="A139" s="3" t="s">
        <v>314</v>
      </c>
      <c r="B139" s="3" t="s">
        <v>374</v>
      </c>
      <c r="C139" s="3"/>
      <c r="D139" s="26" t="s">
        <v>315</v>
      </c>
      <c r="E139" s="61">
        <f>Summary!E$373+Summary!E$708</f>
        <v>0</v>
      </c>
      <c r="F139" s="61">
        <f>Summary!F$373+Summary!F$708</f>
        <v>0</v>
      </c>
      <c r="G139" s="61">
        <f>Summary!G$373+Summary!G$708</f>
        <v>0</v>
      </c>
      <c r="H139" s="61">
        <f>Summary!H$373+Summary!H$708</f>
        <v>0</v>
      </c>
      <c r="I139" s="61">
        <f>Summary!I$373+Summary!I$708</f>
        <v>0</v>
      </c>
      <c r="J139" s="61">
        <f>Summary!J$373+Summary!J$708</f>
        <v>0</v>
      </c>
      <c r="K139" s="61">
        <f>Summary!K$373+Summary!K$708</f>
        <v>0</v>
      </c>
      <c r="L139" s="61">
        <f>Summary!L$373+Summary!L$708</f>
        <v>0</v>
      </c>
      <c r="M139" s="61">
        <f>Summary!M$373+Summary!M$708</f>
        <v>0</v>
      </c>
      <c r="N139" s="61">
        <f>Summary!N$373+Summary!N$708</f>
        <v>0</v>
      </c>
      <c r="O139" s="61">
        <f>Summary!O$373+Summary!O$708</f>
        <v>0</v>
      </c>
      <c r="P139" s="61">
        <f>Summary!P$373+Summary!P$708</f>
        <v>0</v>
      </c>
      <c r="Q139" s="134">
        <f t="shared" si="34"/>
        <v>0</v>
      </c>
      <c r="R139" s="134" t="e">
        <f t="shared" si="33"/>
        <v>#DIV/0!</v>
      </c>
      <c r="S139" s="148"/>
      <c r="T139" s="40">
        <f t="shared" si="30"/>
        <v>0</v>
      </c>
    </row>
    <row r="140" spans="1:20" s="77" customFormat="1" ht="25.4" customHeight="1">
      <c r="A140" s="3" t="s">
        <v>316</v>
      </c>
      <c r="B140" s="3" t="s">
        <v>374</v>
      </c>
      <c r="C140" s="3"/>
      <c r="D140" s="26" t="s">
        <v>317</v>
      </c>
      <c r="E140" s="61">
        <f>Summary!E$374+Summary!E$709</f>
        <v>0</v>
      </c>
      <c r="F140" s="61">
        <f>Summary!F$374+Summary!F$709</f>
        <v>0</v>
      </c>
      <c r="G140" s="61">
        <f>Summary!G$374+Summary!G$709</f>
        <v>0</v>
      </c>
      <c r="H140" s="61">
        <f>Summary!H$374+Summary!H$709</f>
        <v>0</v>
      </c>
      <c r="I140" s="61">
        <f>Summary!I$374+Summary!I$709</f>
        <v>0</v>
      </c>
      <c r="J140" s="61">
        <f>Summary!J$374+Summary!J$709</f>
        <v>0</v>
      </c>
      <c r="K140" s="61">
        <f>Summary!K$374+Summary!K$709</f>
        <v>0</v>
      </c>
      <c r="L140" s="61">
        <f>Summary!L$374+Summary!L$709</f>
        <v>0</v>
      </c>
      <c r="M140" s="61">
        <f>Summary!M$374+Summary!M$709</f>
        <v>0</v>
      </c>
      <c r="N140" s="61">
        <f>Summary!N$374+Summary!N$709</f>
        <v>0</v>
      </c>
      <c r="O140" s="61">
        <f>Summary!O$374+Summary!O$709</f>
        <v>0</v>
      </c>
      <c r="P140" s="61">
        <f>Summary!P$374+Summary!P$709</f>
        <v>0</v>
      </c>
      <c r="Q140" s="134">
        <f t="shared" si="34"/>
        <v>0</v>
      </c>
      <c r="R140" s="134" t="e">
        <f t="shared" si="33"/>
        <v>#DIV/0!</v>
      </c>
      <c r="S140" s="148"/>
      <c r="T140" s="40">
        <f t="shared" si="30"/>
        <v>0</v>
      </c>
    </row>
    <row r="141" spans="1:20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:Q142" si="35">SUM(E141:P141)</f>
        <v>0</v>
      </c>
      <c r="R141" s="134" t="e">
        <f t="shared" si="33"/>
        <v>#DIV/0!</v>
      </c>
      <c r="S141" s="148"/>
      <c r="T141" s="40"/>
    </row>
    <row r="142" spans="1:20" s="77" customFormat="1" ht="25.4" customHeight="1">
      <c r="A142" s="3" t="s">
        <v>1066</v>
      </c>
      <c r="B142" s="3" t="s">
        <v>368</v>
      </c>
      <c r="C142" s="3"/>
      <c r="D142" s="26" t="s">
        <v>1070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35"/>
        <v>0</v>
      </c>
      <c r="R142" s="134" t="e">
        <f t="shared" si="33"/>
        <v>#DIV/0!</v>
      </c>
      <c r="S142" s="148"/>
      <c r="T142" s="40"/>
    </row>
    <row r="143" spans="1:20" s="77" customFormat="1" ht="25.4" customHeight="1">
      <c r="A143" s="3"/>
      <c r="B143" s="3"/>
      <c r="C143" s="3"/>
      <c r="D143" s="19" t="s">
        <v>318</v>
      </c>
      <c r="E143" s="151">
        <f>SUM(E136:E142)</f>
        <v>0</v>
      </c>
      <c r="F143" s="151">
        <f>SUM(F136:F142)</f>
        <v>0</v>
      </c>
      <c r="G143" s="151">
        <f>SUM(G136:G142)</f>
        <v>0</v>
      </c>
      <c r="H143" s="151">
        <f t="shared" ref="H143:Q143" si="36">SUM(H136:H142)</f>
        <v>0</v>
      </c>
      <c r="I143" s="151">
        <f t="shared" si="36"/>
        <v>0</v>
      </c>
      <c r="J143" s="151">
        <f t="shared" si="36"/>
        <v>0</v>
      </c>
      <c r="K143" s="151">
        <f t="shared" si="36"/>
        <v>0</v>
      </c>
      <c r="L143" s="151">
        <f t="shared" si="36"/>
        <v>0</v>
      </c>
      <c r="M143" s="151">
        <f t="shared" si="36"/>
        <v>0</v>
      </c>
      <c r="N143" s="151">
        <f t="shared" si="36"/>
        <v>0</v>
      </c>
      <c r="O143" s="151">
        <f t="shared" si="36"/>
        <v>0</v>
      </c>
      <c r="P143" s="151">
        <f t="shared" si="36"/>
        <v>0</v>
      </c>
      <c r="Q143" s="151">
        <f t="shared" si="36"/>
        <v>0</v>
      </c>
      <c r="R143" s="134" t="e">
        <f t="shared" si="33"/>
        <v>#DIV/0!</v>
      </c>
      <c r="S143" s="148"/>
      <c r="T143" s="40">
        <f t="shared" si="30"/>
        <v>0</v>
      </c>
    </row>
    <row r="144" spans="1:20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52"/>
      <c r="M144" s="152"/>
      <c r="S144" s="148"/>
      <c r="T144" s="40"/>
    </row>
    <row r="145" spans="1:20" s="77" customFormat="1" ht="25.4" customHeight="1">
      <c r="A145" s="3" t="s">
        <v>319</v>
      </c>
      <c r="B145" s="3" t="s">
        <v>374</v>
      </c>
      <c r="C145" s="3"/>
      <c r="D145" s="26" t="s">
        <v>320</v>
      </c>
      <c r="E145" s="61">
        <f>Summary!E$711+Summary!E$376</f>
        <v>0</v>
      </c>
      <c r="F145" s="61">
        <f>Summary!F$711+Summary!F$376</f>
        <v>0</v>
      </c>
      <c r="G145" s="61">
        <f>Summary!G$711+Summary!G$376</f>
        <v>0</v>
      </c>
      <c r="H145" s="61">
        <f>Summary!H$711+Summary!H$376</f>
        <v>0</v>
      </c>
      <c r="I145" s="61">
        <f>Summary!I$711+Summary!I$376</f>
        <v>0</v>
      </c>
      <c r="J145" s="61">
        <f>Summary!J$711+Summary!J$376</f>
        <v>0</v>
      </c>
      <c r="K145" s="61">
        <f>Summary!K$711+Summary!K$376</f>
        <v>0</v>
      </c>
      <c r="L145" s="61">
        <f>Summary!L$711+Summary!L$376</f>
        <v>0</v>
      </c>
      <c r="M145" s="61">
        <f>Summary!M$711+Summary!M$376</f>
        <v>0</v>
      </c>
      <c r="N145" s="61">
        <f>Summary!N$711+Summary!N$376</f>
        <v>0</v>
      </c>
      <c r="O145" s="61">
        <f>Summary!O$711+Summary!O$376</f>
        <v>0</v>
      </c>
      <c r="P145" s="61">
        <f>Summary!P$711+Summary!P$376</f>
        <v>0</v>
      </c>
      <c r="Q145" s="134">
        <f>SUM(E145:P145)</f>
        <v>0</v>
      </c>
      <c r="R145" s="134" t="e">
        <f t="shared" ref="R145:R153" si="37">Q145/$Q$117</f>
        <v>#DIV/0!</v>
      </c>
      <c r="S145" s="148"/>
      <c r="T145" s="40">
        <f t="shared" si="30"/>
        <v>0</v>
      </c>
    </row>
    <row r="146" spans="1:20" s="77" customFormat="1" ht="25.4" customHeight="1">
      <c r="A146" s="3" t="s">
        <v>321</v>
      </c>
      <c r="B146" s="3" t="s">
        <v>374</v>
      </c>
      <c r="C146" s="3"/>
      <c r="D146" s="26" t="s">
        <v>322</v>
      </c>
      <c r="E146" s="61">
        <f>Summary!E$712+Summary!E$377</f>
        <v>0</v>
      </c>
      <c r="F146" s="61">
        <f>Summary!F$712+Summary!F$377</f>
        <v>0</v>
      </c>
      <c r="G146" s="61">
        <f>Summary!G$712+Summary!G$377</f>
        <v>0</v>
      </c>
      <c r="H146" s="61">
        <f>Summary!H$712+Summary!H$377</f>
        <v>0</v>
      </c>
      <c r="I146" s="61">
        <f>Summary!I$712+Summary!I$377</f>
        <v>0</v>
      </c>
      <c r="J146" s="61">
        <f>Summary!J$712+Summary!J$377</f>
        <v>0</v>
      </c>
      <c r="K146" s="61">
        <f>Summary!K$712+Summary!K$377</f>
        <v>0</v>
      </c>
      <c r="L146" s="61">
        <f>Summary!L$712+Summary!L$377</f>
        <v>0</v>
      </c>
      <c r="M146" s="61">
        <f>Summary!M$712+Summary!M$377</f>
        <v>0</v>
      </c>
      <c r="N146" s="61">
        <f>Summary!N$712+Summary!N$377</f>
        <v>0</v>
      </c>
      <c r="O146" s="61">
        <f>Summary!O$712+Summary!O$377</f>
        <v>0</v>
      </c>
      <c r="P146" s="61">
        <f>Summary!P$712+Summary!P$377</f>
        <v>0</v>
      </c>
      <c r="Q146" s="134">
        <f t="shared" ref="Q146:Q152" si="38">SUM(E146:P146)</f>
        <v>0</v>
      </c>
      <c r="R146" s="134" t="e">
        <f t="shared" si="37"/>
        <v>#DIV/0!</v>
      </c>
      <c r="S146" s="148"/>
      <c r="T146" s="40">
        <f t="shared" si="30"/>
        <v>0</v>
      </c>
    </row>
    <row r="147" spans="1:20" s="77" customFormat="1" ht="25.4" customHeight="1">
      <c r="A147" s="3" t="s">
        <v>323</v>
      </c>
      <c r="B147" s="3" t="s">
        <v>374</v>
      </c>
      <c r="C147" s="3"/>
      <c r="D147" s="26" t="s">
        <v>324</v>
      </c>
      <c r="E147" s="61">
        <f>Summary!E$713+Summary!E$378</f>
        <v>0</v>
      </c>
      <c r="F147" s="61">
        <f>Summary!F$713+Summary!F$378</f>
        <v>0</v>
      </c>
      <c r="G147" s="61">
        <f>Summary!G$713+Summary!G$378</f>
        <v>0</v>
      </c>
      <c r="H147" s="61">
        <f>Summary!H$713+Summary!H$378</f>
        <v>0</v>
      </c>
      <c r="I147" s="61">
        <f>Summary!I$713+Summary!I$378</f>
        <v>0</v>
      </c>
      <c r="J147" s="61">
        <f>Summary!J$713+Summary!J$378</f>
        <v>0</v>
      </c>
      <c r="K147" s="61">
        <f>Summary!K$713+Summary!K$378</f>
        <v>0</v>
      </c>
      <c r="L147" s="61">
        <f>Summary!L$713+Summary!L$378</f>
        <v>0</v>
      </c>
      <c r="M147" s="61">
        <f>Summary!M$713+Summary!M$378</f>
        <v>0</v>
      </c>
      <c r="N147" s="61">
        <f>Summary!N$713+Summary!N$378</f>
        <v>0</v>
      </c>
      <c r="O147" s="61">
        <f>Summary!O$713+Summary!O$378</f>
        <v>0</v>
      </c>
      <c r="P147" s="61">
        <f>Summary!P$713+Summary!P$378</f>
        <v>0</v>
      </c>
      <c r="Q147" s="134">
        <f t="shared" si="38"/>
        <v>0</v>
      </c>
      <c r="R147" s="134" t="e">
        <f t="shared" si="37"/>
        <v>#DIV/0!</v>
      </c>
      <c r="S147" s="148"/>
      <c r="T147" s="40">
        <f t="shared" si="30"/>
        <v>0</v>
      </c>
    </row>
    <row r="148" spans="1:20" s="77" customFormat="1" ht="25.4" customHeight="1">
      <c r="A148" s="3" t="s">
        <v>325</v>
      </c>
      <c r="B148" s="3" t="s">
        <v>374</v>
      </c>
      <c r="C148" s="3"/>
      <c r="D148" s="26" t="s">
        <v>326</v>
      </c>
      <c r="E148" s="61">
        <f>Summary!E$714+Summary!E$379</f>
        <v>0</v>
      </c>
      <c r="F148" s="61">
        <f>Summary!F$714+Summary!F$379</f>
        <v>0</v>
      </c>
      <c r="G148" s="61">
        <f>Summary!G$714+Summary!G$379</f>
        <v>0</v>
      </c>
      <c r="H148" s="61">
        <f>Summary!H$714+Summary!H$379</f>
        <v>0</v>
      </c>
      <c r="I148" s="61">
        <f>Summary!I$714+Summary!I$379</f>
        <v>0</v>
      </c>
      <c r="J148" s="61">
        <f>Summary!J$714+Summary!J$379</f>
        <v>0</v>
      </c>
      <c r="K148" s="61">
        <f>Summary!K$714+Summary!K$379</f>
        <v>0</v>
      </c>
      <c r="L148" s="61">
        <f>Summary!L$714+Summary!L$379</f>
        <v>0</v>
      </c>
      <c r="M148" s="61">
        <f>Summary!M$714+Summary!M$379</f>
        <v>0</v>
      </c>
      <c r="N148" s="61">
        <f>Summary!N$714+Summary!N$379</f>
        <v>0</v>
      </c>
      <c r="O148" s="61">
        <f>Summary!O$714+Summary!O$379</f>
        <v>0</v>
      </c>
      <c r="P148" s="61">
        <f>Summary!P$714+Summary!P$379</f>
        <v>0</v>
      </c>
      <c r="Q148" s="134">
        <f t="shared" si="38"/>
        <v>0</v>
      </c>
      <c r="R148" s="134" t="e">
        <f t="shared" si="37"/>
        <v>#DIV/0!</v>
      </c>
      <c r="S148" s="148"/>
      <c r="T148" s="40">
        <f t="shared" si="30"/>
        <v>0</v>
      </c>
    </row>
    <row r="149" spans="1:20" s="77" customFormat="1" ht="25.4" customHeight="1">
      <c r="A149" s="3" t="s">
        <v>327</v>
      </c>
      <c r="B149" s="3" t="s">
        <v>374</v>
      </c>
      <c r="C149" s="3"/>
      <c r="D149" s="26" t="s">
        <v>328</v>
      </c>
      <c r="E149" s="61">
        <f>Summary!E$715+Summary!E$380</f>
        <v>0</v>
      </c>
      <c r="F149" s="61">
        <f>Summary!F$715+Summary!F$380</f>
        <v>0</v>
      </c>
      <c r="G149" s="61">
        <f>Summary!G$715+Summary!G$380</f>
        <v>0</v>
      </c>
      <c r="H149" s="61">
        <f>Summary!H$715+Summary!H$380</f>
        <v>0</v>
      </c>
      <c r="I149" s="61">
        <f>Summary!I$715+Summary!I$380</f>
        <v>0</v>
      </c>
      <c r="J149" s="61">
        <f>Summary!J$715+Summary!J$380</f>
        <v>0</v>
      </c>
      <c r="K149" s="61">
        <f>Summary!K$715+Summary!K$380</f>
        <v>0</v>
      </c>
      <c r="L149" s="61">
        <f>Summary!L$715+Summary!L$380</f>
        <v>0</v>
      </c>
      <c r="M149" s="61">
        <f>Summary!M$715+Summary!M$380</f>
        <v>0</v>
      </c>
      <c r="N149" s="61">
        <f>Summary!N$715+Summary!N$380</f>
        <v>0</v>
      </c>
      <c r="O149" s="61">
        <f>Summary!O$715+Summary!O$380</f>
        <v>0</v>
      </c>
      <c r="P149" s="61">
        <f>Summary!P$715+Summary!P$380</f>
        <v>0</v>
      </c>
      <c r="Q149" s="134">
        <f t="shared" si="38"/>
        <v>0</v>
      </c>
      <c r="R149" s="134" t="e">
        <f t="shared" si="37"/>
        <v>#DIV/0!</v>
      </c>
      <c r="S149" s="148"/>
      <c r="T149" s="40">
        <f t="shared" si="30"/>
        <v>0</v>
      </c>
    </row>
    <row r="150" spans="1:20" s="77" customFormat="1" ht="25.4" customHeight="1">
      <c r="A150" s="3" t="s">
        <v>329</v>
      </c>
      <c r="B150" s="3" t="s">
        <v>374</v>
      </c>
      <c r="C150" s="3"/>
      <c r="D150" s="26" t="s">
        <v>330</v>
      </c>
      <c r="E150" s="61">
        <f>Summary!E$716+Summary!E$381</f>
        <v>0</v>
      </c>
      <c r="F150" s="61">
        <f>Summary!F$716+Summary!F$381</f>
        <v>0</v>
      </c>
      <c r="G150" s="61">
        <f>Summary!G$716+Summary!G$381</f>
        <v>0</v>
      </c>
      <c r="H150" s="61">
        <f>Summary!H$716+Summary!H$381</f>
        <v>0</v>
      </c>
      <c r="I150" s="61">
        <f>Summary!I$716+Summary!I$381</f>
        <v>0</v>
      </c>
      <c r="J150" s="61">
        <f>Summary!J$716+Summary!J$381</f>
        <v>0</v>
      </c>
      <c r="K150" s="61">
        <f>Summary!K$716+Summary!K$381</f>
        <v>0</v>
      </c>
      <c r="L150" s="61">
        <f>Summary!L$716+Summary!L$381</f>
        <v>0</v>
      </c>
      <c r="M150" s="61">
        <f>Summary!M$716+Summary!M$381</f>
        <v>0</v>
      </c>
      <c r="N150" s="61">
        <f>Summary!N$716+Summary!N$381</f>
        <v>0</v>
      </c>
      <c r="O150" s="61">
        <f>Summary!O$716+Summary!O$381</f>
        <v>0</v>
      </c>
      <c r="P150" s="61">
        <f>Summary!P$716+Summary!P$381</f>
        <v>0</v>
      </c>
      <c r="Q150" s="134">
        <f t="shared" si="38"/>
        <v>0</v>
      </c>
      <c r="R150" s="134" t="e">
        <f t="shared" si="37"/>
        <v>#DIV/0!</v>
      </c>
      <c r="S150" s="148"/>
      <c r="T150" s="40">
        <f t="shared" si="30"/>
        <v>0</v>
      </c>
    </row>
    <row r="151" spans="1:20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0</v>
      </c>
      <c r="F151" s="63">
        <v>0</v>
      </c>
      <c r="G151" s="63">
        <v>0</v>
      </c>
      <c r="H151" s="63">
        <v>0</v>
      </c>
      <c r="I151" s="63">
        <v>0</v>
      </c>
      <c r="J151" s="61">
        <v>0</v>
      </c>
      <c r="K151" s="61">
        <v>0</v>
      </c>
      <c r="L151" s="61">
        <v>0</v>
      </c>
      <c r="M151" s="61">
        <v>0</v>
      </c>
      <c r="N151" s="134">
        <v>0</v>
      </c>
      <c r="O151" s="134">
        <v>0</v>
      </c>
      <c r="P151" s="134">
        <v>0</v>
      </c>
      <c r="Q151" s="134">
        <f t="shared" si="38"/>
        <v>0</v>
      </c>
      <c r="R151" s="134" t="e">
        <f t="shared" si="37"/>
        <v>#DIV/0!</v>
      </c>
      <c r="S151" s="148"/>
      <c r="T151" s="40">
        <f t="shared" si="30"/>
        <v>0</v>
      </c>
    </row>
    <row r="152" spans="1:20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>
        <v>0</v>
      </c>
      <c r="F152" s="63">
        <v>0</v>
      </c>
      <c r="G152" s="63">
        <v>0</v>
      </c>
      <c r="H152" s="63">
        <v>0</v>
      </c>
      <c r="I152" s="63">
        <v>0</v>
      </c>
      <c r="J152" s="61">
        <v>0</v>
      </c>
      <c r="K152" s="61">
        <v>0</v>
      </c>
      <c r="L152" s="61">
        <v>0</v>
      </c>
      <c r="M152" s="61">
        <v>0</v>
      </c>
      <c r="N152" s="134">
        <v>0</v>
      </c>
      <c r="O152" s="134">
        <v>0</v>
      </c>
      <c r="P152" s="134">
        <v>0</v>
      </c>
      <c r="Q152" s="134">
        <f t="shared" si="38"/>
        <v>0</v>
      </c>
      <c r="R152" s="134" t="e">
        <f t="shared" si="37"/>
        <v>#DIV/0!</v>
      </c>
      <c r="S152" s="148"/>
      <c r="T152" s="40">
        <f t="shared" si="30"/>
        <v>0</v>
      </c>
    </row>
    <row r="153" spans="1:20" s="77" customFormat="1" ht="25.4" customHeight="1">
      <c r="A153" s="3"/>
      <c r="B153" s="3"/>
      <c r="C153" s="3"/>
      <c r="D153" s="19" t="s">
        <v>335</v>
      </c>
      <c r="E153" s="151">
        <f>SUM(E145:E152)</f>
        <v>0</v>
      </c>
      <c r="F153" s="151">
        <f t="shared" ref="F153:Q153" si="39">SUM(F145:F152)</f>
        <v>0</v>
      </c>
      <c r="G153" s="151">
        <f t="shared" si="39"/>
        <v>0</v>
      </c>
      <c r="H153" s="151">
        <f t="shared" si="39"/>
        <v>0</v>
      </c>
      <c r="I153" s="151">
        <f t="shared" si="39"/>
        <v>0</v>
      </c>
      <c r="J153" s="151">
        <f t="shared" si="39"/>
        <v>0</v>
      </c>
      <c r="K153" s="151">
        <f t="shared" si="39"/>
        <v>0</v>
      </c>
      <c r="L153" s="151">
        <f t="shared" si="39"/>
        <v>0</v>
      </c>
      <c r="M153" s="151">
        <f t="shared" si="39"/>
        <v>0</v>
      </c>
      <c r="N153" s="151">
        <f t="shared" si="39"/>
        <v>0</v>
      </c>
      <c r="O153" s="151">
        <f t="shared" si="39"/>
        <v>0</v>
      </c>
      <c r="P153" s="151">
        <f t="shared" si="39"/>
        <v>0</v>
      </c>
      <c r="Q153" s="151">
        <f t="shared" si="39"/>
        <v>0</v>
      </c>
      <c r="R153" s="134" t="e">
        <f t="shared" si="37"/>
        <v>#DIV/0!</v>
      </c>
      <c r="S153" s="148"/>
      <c r="T153" s="40">
        <f t="shared" si="30"/>
        <v>0</v>
      </c>
    </row>
    <row r="154" spans="1:20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52"/>
      <c r="M154" s="152"/>
      <c r="S154" s="148"/>
      <c r="T154" s="40"/>
    </row>
    <row r="155" spans="1:20" s="77" customFormat="1" ht="25.4" hidden="1" customHeight="1">
      <c r="A155" s="3" t="s">
        <v>336</v>
      </c>
      <c r="B155" s="3" t="s">
        <v>403</v>
      </c>
      <c r="C155" s="3"/>
      <c r="D155" s="26" t="s">
        <v>337</v>
      </c>
      <c r="E155" s="61">
        <v>0</v>
      </c>
      <c r="F155" s="63">
        <v>0</v>
      </c>
      <c r="G155" s="63">
        <v>0</v>
      </c>
      <c r="H155" s="63">
        <v>0</v>
      </c>
      <c r="I155" s="63">
        <v>0</v>
      </c>
      <c r="J155" s="61">
        <v>0</v>
      </c>
      <c r="K155" s="61">
        <v>0</v>
      </c>
      <c r="L155" s="61">
        <v>0</v>
      </c>
      <c r="M155" s="61">
        <v>0</v>
      </c>
      <c r="N155" s="134">
        <v>0</v>
      </c>
      <c r="O155" s="134">
        <v>0</v>
      </c>
      <c r="P155" s="134">
        <v>0</v>
      </c>
      <c r="Q155" s="134">
        <f>SUM(E155:P155)</f>
        <v>0</v>
      </c>
      <c r="R155" s="134" t="e">
        <f t="shared" ref="R155:R163" si="40">Q155/$Q$117</f>
        <v>#DIV/0!</v>
      </c>
      <c r="S155" s="148"/>
      <c r="T155" s="40">
        <f t="shared" si="30"/>
        <v>0</v>
      </c>
    </row>
    <row r="156" spans="1:20" s="77" customFormat="1" ht="25.4" hidden="1" customHeight="1">
      <c r="A156" s="3" t="s">
        <v>338</v>
      </c>
      <c r="B156" s="3" t="s">
        <v>403</v>
      </c>
      <c r="C156" s="3"/>
      <c r="D156" s="3" t="s">
        <v>339</v>
      </c>
      <c r="E156" s="61">
        <v>0</v>
      </c>
      <c r="F156" s="63">
        <v>0</v>
      </c>
      <c r="G156" s="63">
        <v>0</v>
      </c>
      <c r="H156" s="63">
        <v>0</v>
      </c>
      <c r="I156" s="63">
        <v>0</v>
      </c>
      <c r="J156" s="61">
        <v>0</v>
      </c>
      <c r="K156" s="61">
        <v>0</v>
      </c>
      <c r="L156" s="61">
        <v>0</v>
      </c>
      <c r="M156" s="61">
        <v>0</v>
      </c>
      <c r="N156" s="134">
        <v>0</v>
      </c>
      <c r="O156" s="134">
        <v>0</v>
      </c>
      <c r="P156" s="134">
        <v>0</v>
      </c>
      <c r="Q156" s="134">
        <f t="shared" ref="Q156:Q161" si="41">SUM(E156:P156)</f>
        <v>0</v>
      </c>
      <c r="R156" s="134" t="e">
        <f t="shared" si="40"/>
        <v>#DIV/0!</v>
      </c>
      <c r="S156" s="148"/>
      <c r="T156" s="40">
        <f t="shared" si="30"/>
        <v>0</v>
      </c>
    </row>
    <row r="157" spans="1:20" s="77" customFormat="1" ht="25.4" hidden="1" customHeight="1">
      <c r="A157" s="3" t="s">
        <v>340</v>
      </c>
      <c r="B157" s="3" t="s">
        <v>403</v>
      </c>
      <c r="C157" s="3"/>
      <c r="D157" s="26" t="s">
        <v>341</v>
      </c>
      <c r="E157" s="61">
        <v>0</v>
      </c>
      <c r="F157" s="63">
        <v>0</v>
      </c>
      <c r="G157" s="63">
        <v>0</v>
      </c>
      <c r="H157" s="63">
        <v>0</v>
      </c>
      <c r="I157" s="63">
        <v>0</v>
      </c>
      <c r="J157" s="61">
        <v>0</v>
      </c>
      <c r="K157" s="61">
        <v>0</v>
      </c>
      <c r="L157" s="61">
        <v>0</v>
      </c>
      <c r="M157" s="61">
        <v>0</v>
      </c>
      <c r="N157" s="134">
        <v>0</v>
      </c>
      <c r="O157" s="134">
        <v>0</v>
      </c>
      <c r="P157" s="134">
        <v>0</v>
      </c>
      <c r="Q157" s="134">
        <f t="shared" si="41"/>
        <v>0</v>
      </c>
      <c r="R157" s="134" t="e">
        <f t="shared" si="40"/>
        <v>#DIV/0!</v>
      </c>
      <c r="S157" s="148"/>
      <c r="T157" s="40">
        <f t="shared" si="30"/>
        <v>0</v>
      </c>
    </row>
    <row r="158" spans="1:20" s="77" customFormat="1" ht="25.4" hidden="1" customHeight="1">
      <c r="A158" s="3" t="s">
        <v>342</v>
      </c>
      <c r="B158" s="3" t="s">
        <v>403</v>
      </c>
      <c r="C158" s="3"/>
      <c r="D158" s="26" t="s">
        <v>343</v>
      </c>
      <c r="E158" s="61">
        <v>0</v>
      </c>
      <c r="F158" s="63">
        <v>0</v>
      </c>
      <c r="G158" s="63">
        <v>0</v>
      </c>
      <c r="H158" s="63">
        <v>0</v>
      </c>
      <c r="I158" s="63">
        <v>0</v>
      </c>
      <c r="J158" s="61">
        <v>0</v>
      </c>
      <c r="K158" s="61">
        <v>0</v>
      </c>
      <c r="L158" s="61">
        <v>0</v>
      </c>
      <c r="M158" s="61">
        <v>0</v>
      </c>
      <c r="N158" s="134">
        <v>0</v>
      </c>
      <c r="O158" s="134">
        <v>0</v>
      </c>
      <c r="P158" s="134">
        <v>0</v>
      </c>
      <c r="Q158" s="134">
        <f t="shared" si="41"/>
        <v>0</v>
      </c>
      <c r="R158" s="134" t="e">
        <f t="shared" si="40"/>
        <v>#DIV/0!</v>
      </c>
      <c r="S158" s="148"/>
      <c r="T158" s="40">
        <f t="shared" si="30"/>
        <v>0</v>
      </c>
    </row>
    <row r="159" spans="1:20" s="77" customFormat="1" ht="25.4" customHeight="1">
      <c r="A159" s="3" t="s">
        <v>344</v>
      </c>
      <c r="B159" s="3" t="s">
        <v>374</v>
      </c>
      <c r="C159" s="3"/>
      <c r="D159" s="26" t="s">
        <v>345</v>
      </c>
      <c r="E159" s="61">
        <f>Summary!E$383+Summary!E$718</f>
        <v>0</v>
      </c>
      <c r="F159" s="61">
        <f>Summary!F$383+Summary!F$718</f>
        <v>0</v>
      </c>
      <c r="G159" s="61">
        <f>Summary!G$383+Summary!G$718</f>
        <v>0</v>
      </c>
      <c r="H159" s="61">
        <f>Summary!H$383+Summary!H$718</f>
        <v>0</v>
      </c>
      <c r="I159" s="61">
        <f>Summary!I$383+Summary!I$718</f>
        <v>0</v>
      </c>
      <c r="J159" s="61">
        <f>Summary!J$383+Summary!J$718</f>
        <v>0</v>
      </c>
      <c r="K159" s="61">
        <f>Summary!K$383+Summary!K$718</f>
        <v>0</v>
      </c>
      <c r="L159" s="61">
        <f>Summary!L$383+Summary!L$718</f>
        <v>0</v>
      </c>
      <c r="M159" s="61">
        <f>Summary!M$383+Summary!M$718</f>
        <v>0</v>
      </c>
      <c r="N159" s="61">
        <f>Summary!N$383+Summary!N$718</f>
        <v>0</v>
      </c>
      <c r="O159" s="61">
        <f>Summary!O$383+Summary!O$718</f>
        <v>0</v>
      </c>
      <c r="P159" s="61">
        <f>Summary!P$383+Summary!P$718</f>
        <v>0</v>
      </c>
      <c r="Q159" s="134">
        <f t="shared" si="41"/>
        <v>0</v>
      </c>
      <c r="R159" s="134" t="e">
        <f t="shared" si="40"/>
        <v>#DIV/0!</v>
      </c>
      <c r="S159" s="148"/>
      <c r="T159" s="40">
        <f t="shared" si="30"/>
        <v>0</v>
      </c>
    </row>
    <row r="160" spans="1:20" s="77" customFormat="1" ht="25.4" hidden="1" customHeight="1">
      <c r="A160" s="3" t="s">
        <v>346</v>
      </c>
      <c r="B160" s="3" t="s">
        <v>374</v>
      </c>
      <c r="C160" s="3"/>
      <c r="D160" s="26" t="s">
        <v>347</v>
      </c>
      <c r="E160" s="61">
        <f>Summary!E$384+Summary!E$719</f>
        <v>0</v>
      </c>
      <c r="F160" s="61">
        <f>Summary!F$384+Summary!F$719</f>
        <v>0</v>
      </c>
      <c r="G160" s="61">
        <f>Summary!G$384+Summary!G$719</f>
        <v>0</v>
      </c>
      <c r="H160" s="61">
        <f>Summary!H$384+Summary!H$719</f>
        <v>0</v>
      </c>
      <c r="I160" s="61">
        <f>Summary!I$384+Summary!I$719</f>
        <v>0</v>
      </c>
      <c r="J160" s="61">
        <f>Summary!J$384+Summary!J$719</f>
        <v>0</v>
      </c>
      <c r="K160" s="61">
        <f>Summary!K$384+Summary!K$719</f>
        <v>0</v>
      </c>
      <c r="L160" s="61">
        <f>Summary!L$384+Summary!L$719</f>
        <v>0</v>
      </c>
      <c r="M160" s="61">
        <f>Summary!M$384+Summary!M$719</f>
        <v>0</v>
      </c>
      <c r="N160" s="61">
        <f>Summary!N$384+Summary!N$719</f>
        <v>0</v>
      </c>
      <c r="O160" s="61">
        <f>Summary!O$384+Summary!O$719</f>
        <v>0</v>
      </c>
      <c r="P160" s="61">
        <f>Summary!P$384+Summary!P$719</f>
        <v>0</v>
      </c>
      <c r="Q160" s="134">
        <f t="shared" si="41"/>
        <v>0</v>
      </c>
      <c r="R160" s="134" t="e">
        <f t="shared" si="40"/>
        <v>#DIV/0!</v>
      </c>
      <c r="S160" s="148"/>
      <c r="T160" s="40">
        <f t="shared" si="30"/>
        <v>0</v>
      </c>
    </row>
    <row r="161" spans="1:20" s="77" customFormat="1" ht="25.4" customHeight="1">
      <c r="A161" s="3" t="s">
        <v>348</v>
      </c>
      <c r="B161" s="3" t="s">
        <v>374</v>
      </c>
      <c r="C161" s="3"/>
      <c r="D161" s="26" t="s">
        <v>349</v>
      </c>
      <c r="E161" s="61">
        <f>Summary!E$385+Summary!E$720</f>
        <v>0</v>
      </c>
      <c r="F161" s="61">
        <f>Summary!F$385+Summary!F$720</f>
        <v>0</v>
      </c>
      <c r="G161" s="61">
        <f>Summary!G$385+Summary!G$720</f>
        <v>0</v>
      </c>
      <c r="H161" s="61">
        <f>Summary!H$385+Summary!H$720</f>
        <v>0</v>
      </c>
      <c r="I161" s="61">
        <f>Summary!I$385+Summary!I$720</f>
        <v>0</v>
      </c>
      <c r="J161" s="61">
        <f>Summary!J$385+Summary!J$720</f>
        <v>0</v>
      </c>
      <c r="K161" s="61">
        <f>Summary!K$385+Summary!K$720</f>
        <v>0</v>
      </c>
      <c r="L161" s="61">
        <f>Summary!L$385+Summary!L$720</f>
        <v>0</v>
      </c>
      <c r="M161" s="61">
        <f>Summary!M$385+Summary!M$720</f>
        <v>0</v>
      </c>
      <c r="N161" s="61">
        <f>Summary!N$385+Summary!N$720</f>
        <v>0</v>
      </c>
      <c r="O161" s="61">
        <f>Summary!O$385+Summary!O$720</f>
        <v>0</v>
      </c>
      <c r="P161" s="61">
        <f>Summary!P$385+Summary!P$720</f>
        <v>0</v>
      </c>
      <c r="Q161" s="134">
        <f t="shared" si="41"/>
        <v>0</v>
      </c>
      <c r="R161" s="134" t="e">
        <f t="shared" si="40"/>
        <v>#DIV/0!</v>
      </c>
      <c r="S161" s="148"/>
      <c r="T161" s="40">
        <f t="shared" si="30"/>
        <v>0</v>
      </c>
    </row>
    <row r="162" spans="1:20" s="77" customFormat="1" ht="25.4" customHeight="1">
      <c r="A162" s="3"/>
      <c r="B162" s="3"/>
      <c r="C162" s="3"/>
      <c r="D162" s="19" t="s">
        <v>350</v>
      </c>
      <c r="E162" s="151">
        <f>SUM(E155:E161)</f>
        <v>0</v>
      </c>
      <c r="F162" s="151">
        <f t="shared" ref="F162:Q162" si="42">SUM(F155:F161)</f>
        <v>0</v>
      </c>
      <c r="G162" s="151">
        <f t="shared" si="42"/>
        <v>0</v>
      </c>
      <c r="H162" s="151">
        <f t="shared" si="42"/>
        <v>0</v>
      </c>
      <c r="I162" s="151">
        <f t="shared" si="42"/>
        <v>0</v>
      </c>
      <c r="J162" s="151">
        <f t="shared" si="42"/>
        <v>0</v>
      </c>
      <c r="K162" s="151">
        <f t="shared" si="42"/>
        <v>0</v>
      </c>
      <c r="L162" s="151">
        <f t="shared" si="42"/>
        <v>0</v>
      </c>
      <c r="M162" s="151">
        <f t="shared" si="42"/>
        <v>0</v>
      </c>
      <c r="N162" s="151">
        <f t="shared" si="42"/>
        <v>0</v>
      </c>
      <c r="O162" s="151">
        <f t="shared" si="42"/>
        <v>0</v>
      </c>
      <c r="P162" s="151">
        <f t="shared" si="42"/>
        <v>0</v>
      </c>
      <c r="Q162" s="151">
        <f t="shared" si="42"/>
        <v>0</v>
      </c>
      <c r="R162" s="134" t="e">
        <f t="shared" si="40"/>
        <v>#DIV/0!</v>
      </c>
      <c r="S162" s="148"/>
      <c r="T162" s="40">
        <f t="shared" si="30"/>
        <v>0</v>
      </c>
    </row>
    <row r="163" spans="1:20" s="77" customFormat="1" ht="25.4" customHeight="1">
      <c r="A163" s="3"/>
      <c r="B163" s="3"/>
      <c r="C163" s="3"/>
      <c r="D163" s="19" t="s">
        <v>351</v>
      </c>
      <c r="E163" s="151">
        <f>E134+E143+E153+E162</f>
        <v>0</v>
      </c>
      <c r="F163" s="151">
        <f t="shared" ref="F163:Q163" si="43">F134+F143+F153+F162</f>
        <v>0</v>
      </c>
      <c r="G163" s="151">
        <f t="shared" si="43"/>
        <v>0</v>
      </c>
      <c r="H163" s="151">
        <f t="shared" si="43"/>
        <v>0</v>
      </c>
      <c r="I163" s="151">
        <f t="shared" si="43"/>
        <v>0</v>
      </c>
      <c r="J163" s="151">
        <f t="shared" si="43"/>
        <v>0</v>
      </c>
      <c r="K163" s="151">
        <f t="shared" si="43"/>
        <v>0</v>
      </c>
      <c r="L163" s="151">
        <f t="shared" si="43"/>
        <v>0</v>
      </c>
      <c r="M163" s="151">
        <f t="shared" si="43"/>
        <v>0</v>
      </c>
      <c r="N163" s="151">
        <f t="shared" si="43"/>
        <v>0</v>
      </c>
      <c r="O163" s="151">
        <f t="shared" si="43"/>
        <v>0</v>
      </c>
      <c r="P163" s="151">
        <f t="shared" si="43"/>
        <v>0</v>
      </c>
      <c r="Q163" s="151">
        <f t="shared" si="43"/>
        <v>0</v>
      </c>
      <c r="R163" s="134" t="e">
        <f t="shared" si="40"/>
        <v>#DIV/0!</v>
      </c>
      <c r="S163" s="148"/>
      <c r="T163" s="40">
        <f t="shared" si="30"/>
        <v>0</v>
      </c>
    </row>
    <row r="164" spans="1:20" s="42" customFormat="1" ht="25.4" customHeight="1">
      <c r="L164" s="152"/>
      <c r="S164" s="148"/>
      <c r="T164" s="40"/>
    </row>
    <row r="165" spans="1:20" s="77" customFormat="1" ht="25.4" customHeight="1">
      <c r="A165" s="3" t="s">
        <v>108</v>
      </c>
      <c r="B165" s="3" t="s">
        <v>374</v>
      </c>
      <c r="C165" s="3"/>
      <c r="D165" s="19" t="s">
        <v>354</v>
      </c>
      <c r="E165" s="65">
        <f>Summary!E$693+Summary!E$358</f>
        <v>0</v>
      </c>
      <c r="F165" s="65">
        <f>Summary!F$693+Summary!F$358</f>
        <v>0</v>
      </c>
      <c r="G165" s="65">
        <f>Summary!G$693+Summary!G$358</f>
        <v>0</v>
      </c>
      <c r="H165" s="65">
        <f>Summary!H$693+Summary!H$358</f>
        <v>0</v>
      </c>
      <c r="I165" s="65">
        <f>Summary!I$693+Summary!I$358</f>
        <v>0</v>
      </c>
      <c r="J165" s="65">
        <f>Summary!J$693+Summary!J$358</f>
        <v>0</v>
      </c>
      <c r="K165" s="65">
        <f>Summary!K$693+Summary!K$358</f>
        <v>0</v>
      </c>
      <c r="L165" s="65">
        <f>Summary!L$693+Summary!L$358</f>
        <v>0</v>
      </c>
      <c r="M165" s="65">
        <f>Summary!M$693+Summary!M$358</f>
        <v>0</v>
      </c>
      <c r="N165" s="65">
        <f>Summary!N$693+Summary!N$358</f>
        <v>0</v>
      </c>
      <c r="O165" s="65">
        <f>Summary!O$693+Summary!O$358</f>
        <v>0</v>
      </c>
      <c r="P165" s="65">
        <f>Summary!P$693+Summary!P$358</f>
        <v>0</v>
      </c>
      <c r="Q165" s="157">
        <f>SUM(E165:P165)/12</f>
        <v>0</v>
      </c>
      <c r="R165" s="158"/>
      <c r="S165" s="148"/>
      <c r="T165" s="40">
        <f t="shared" si="30"/>
        <v>0</v>
      </c>
    </row>
  </sheetData>
  <phoneticPr fontId="56" type="noConversion"/>
  <dataValidations count="54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5=-331377.43_x000d__x000a_" sqref="I18:I19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-3710_x000d__x000a_" sqref="M32">
      <formula1>0</formula1>
      <formula2>300</formula2>
    </dataValidation>
    <dataValidation type="textLength" errorStyle="information" allowBlank="1" showInputMessage="1" showErrorMessage="1" error="XLBVal:6=623590.56_x000d__x000a_" sqref="E14:P14">
      <formula1>0</formula1>
      <formula2>300</formula2>
    </dataValidation>
    <dataValidation type="textLength" errorStyle="information" allowBlank="1" showInputMessage="1" showErrorMessage="1" error="XLBVal:6=209604.31_x000d__x000a_" sqref="E27:P27">
      <formula1>0</formula1>
      <formula2>300</formula2>
    </dataValidation>
    <dataValidation type="textLength" errorStyle="information" allowBlank="1" showInputMessage="1" showErrorMessage="1" error="XLBVal:6=32547.5_x000d__x000a_" sqref="H32">
      <formula1>0</formula1>
      <formula2>300</formula2>
    </dataValidation>
    <dataValidation type="textLength" errorStyle="information" allowBlank="1" showInputMessage="1" showErrorMessage="1" error="XLBVal:6=458670.58_x000d__x000a_" sqref="E12:P12">
      <formula1>0</formula1>
      <formula2>300</formula2>
    </dataValidation>
    <dataValidation type="textLength" errorStyle="information" allowBlank="1" showInputMessage="1" showErrorMessage="1" error="XLBVal:5=15426.66_x000d__x000a_" sqref="I35 I37:I38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5=2443234.73_x000d__x000a_" sqref="E29:E30 H29:H30">
      <formula1>0</formula1>
      <formula2>300</formula2>
    </dataValidation>
    <dataValidation type="textLength" errorStyle="information" allowBlank="1" showInputMessage="1" showErrorMessage="1" error="XLBVal:5=1285238.57_x000d__x000a_" sqref="F17:G17 I17:R17 E25:R25 E34:R34 R36 E17:E19 H17:H19">
      <formula1>0</formula1>
      <formula2>300</formula2>
    </dataValidation>
    <dataValidation type="textLength" errorStyle="information" allowBlank="1" showInputMessage="1" showErrorMessage="1" error="XLBVal:6=514.58_x000d__x000a_" sqref="E26:P26 E106:P106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21065.12_x000d__x000a_" sqref="E32">
      <formula1>0</formula1>
      <formula2>300</formula2>
    </dataValidation>
    <dataValidation type="textLength" errorStyle="information" allowBlank="1" showInputMessage="1" showErrorMessage="1" error="XLBVal:6=-6300_x000d__x000a_" sqref="N32:P32">
      <formula1>0</formula1>
      <formula2>300</formula2>
    </dataValidation>
    <dataValidation type="textLength" errorStyle="information" allowBlank="1" showInputMessage="1" showErrorMessage="1" error="XLBVal:6=12414.93_x000d__x000a_" sqref="F32">
      <formula1>0</formula1>
      <formula2>300</formula2>
    </dataValidation>
    <dataValidation type="textLength" errorStyle="information" allowBlank="1" showInputMessage="1" showErrorMessage="1" error="XLBVal:6=25196619_x000d__x000a_" sqref="Q31:Q33">
      <formula1>0</formula1>
      <formula2>300</formula2>
    </dataValidation>
    <dataValidation type="textLength" errorStyle="information" allowBlank="1" showInputMessage="1" showErrorMessage="1" error="XLBVal:6=29793_x000d__x000a_" sqref="G32">
      <formula1>0</formula1>
      <formula2>300</formula2>
    </dataValidation>
    <dataValidation type="textLength" errorStyle="information" allowBlank="1" showInputMessage="1" showErrorMessage="1" error="XLBVal:6=31883_x000d__x000a_" sqref="I32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31354_x000d__x000a_" sqref="J32:L32">
      <formula1>0</formula1>
      <formula2>300</formula2>
    </dataValidation>
    <dataValidation type="textLength" errorStyle="information" allowBlank="1" showInputMessage="1" showErrorMessage="1" error="XLBVal:6=4423_x000d__x000a_" sqref="E112:P112">
      <formula1>0</formula1>
      <formula2>300</formula2>
    </dataValidation>
    <dataValidation type="textLength" errorStyle="information" allowBlank="1" showInputMessage="1" showErrorMessage="1" error="XLBVal:2=0_x000d__x000a_" sqref="E33:P33 E35:G35 E108:Q108 E117:R117 E131:R131 E136:P136 R165 F37:F38 Q39:Q95 Q99:Q107 Q132:Q133 Q155:Q161 R26:R27 R31:R33 R39:R108 R132:R134 E99:P105 R145:R153 R155:R163 E15:P16 E115:P116 E151:P152 E20:R24 E55:P65 E67:P93 Q12:R16 Q112:R116 E155:P158 E39:P53 E96:Q98 R136:R143 E141:P142">
      <formula1>0</formula1>
      <formula2>300</formula2>
    </dataValidation>
    <dataValidation type="textLength" errorStyle="information" allowBlank="1" showInputMessage="1" showErrorMessage="1" error="XLBVal:5=0_x000d__x000a_" sqref="H35 F18:F19 F29:F30">
      <formula1>0</formula1>
      <formula2>300</formula2>
    </dataValidation>
    <dataValidation type="textLength" errorStyle="information" allowBlank="1" showInputMessage="1" showErrorMessage="1" error="XLBVal:6=82302.23_x000d__x000a_" sqref="E145:P150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699_x000d__x000a_" sqref="E114:P114">
      <formula1>0</formula1>
      <formula2>300</formula2>
    </dataValidation>
    <dataValidation type="textLength" errorStyle="information" allowBlank="1" showInputMessage="1" showErrorMessage="1" error="XLBVal:6=7331.48_x000d__x000a_" sqref="E54:P54 E66:P66">
      <formula1>0</formula1>
      <formula2>300</formula2>
    </dataValidation>
    <dataValidation type="textLength" errorStyle="information" allowBlank="1" showInputMessage="1" showErrorMessage="1" error="XLBVal:6=95446.45_x000d__x000a_" sqref="E137:P137">
      <formula1>0</formula1>
      <formula2>300</formula2>
    </dataValidation>
    <dataValidation type="textLength" errorStyle="information" allowBlank="1" showInputMessage="1" showErrorMessage="1" error="XLBVal:6=1254.81_x000d__x000a_" sqref="E94:P94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6=1545_x000d__x000a_" sqref="E95:P95">
      <formula1>0</formula1>
      <formula2>300</formula2>
    </dataValidation>
    <dataValidation type="textLength" errorStyle="information" allowBlank="1" showInputMessage="1" showErrorMessage="1" error="XLBVal:6=108592.14_x000d__x000a_" sqref="E107:P107">
      <formula1>0</formula1>
      <formula2>300</formula2>
    </dataValidation>
    <dataValidation type="textLength" errorStyle="information" allowBlank="1" showInputMessage="1" showErrorMessage="1" error="XLBVal:6=0_x000d__x000a_" sqref="E109:R109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error="XLBVal:6=3973_x000d__x000a_" sqref="E113:P113">
      <formula1>0</formula1>
      <formula2>300</formula2>
    </dataValidation>
    <dataValidation type="textLength" errorStyle="information" allowBlank="1" showInputMessage="1" showErrorMessage="1" sqref="E118:I118 F126:I126 F127:R127 H135:I135 H144:I144 H154:I154 E164:I164 E120:E130 F128:I130 F120:R125">
      <formula1>0</formula1>
      <formula2>300</formula2>
    </dataValidation>
    <dataValidation type="textLength" errorStyle="information" allowBlank="1" showInputMessage="1" showErrorMessage="1" error="XLBVal:5=-279047.98_x000d__x000a_" sqref="I29:I30">
      <formula1>0</formula1>
      <formula2>300</formula2>
    </dataValidation>
    <dataValidation type="textLength" errorStyle="information" allowBlank="1" showInputMessage="1" showErrorMessage="1" error="XLBVal:6=3678_x000d__x000a_" sqref="E154:G154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5=1616616_x000d__x000a_" sqref="G18:G19">
      <formula1>0</formula1>
      <formula2>300</formula2>
    </dataValidation>
    <dataValidation type="textLength" errorStyle="information" allowBlank="1" showInputMessage="1" showErrorMessage="1" error="XLBVal:5=3384188.86_x000d__x000a_" sqref="G29:G30">
      <formula1>0</formula1>
      <formula2>300</formula2>
    </dataValidation>
    <dataValidation type="textLength" errorStyle="information" allowBlank="1" showInputMessage="1" showErrorMessage="1" error="XLBVal:6=6595485.04_x000d__x000a_" sqref="G37:G38">
      <formula1>0</formula1>
      <formula2>300</formula2>
    </dataValidation>
    <dataValidation type="textLength" errorStyle="information" allowBlank="1" showInputMessage="1" showErrorMessage="1" error="XLBVal:5=-2586288.67_x000d__x000a_" sqref="H37:H38">
      <formula1>0</formula1>
      <formula2>300</formula2>
    </dataValidation>
    <dataValidation type="textLength" errorStyle="information" allowBlank="1" showInputMessage="1" showErrorMessage="1" error="XLBVal:6=995082_x000d__x000a_" sqref="Q136:Q142">
      <formula1>0</formula1>
      <formula2>300</formula2>
    </dataValidation>
    <dataValidation type="textLength" errorStyle="information" allowBlank="1" showInputMessage="1" showErrorMessage="1" error="XLBVal:6=2660698_x000d__x000a_" sqref="Q145:Q152">
      <formula1>0</formula1>
      <formula2>300</formula2>
    </dataValidation>
    <dataValidation type="textLength" errorStyle="information" allowBlank="1" showInputMessage="1" showErrorMessage="1" error="XLBVal:6=21090_x000d__x000a_" sqref="E138:P14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65"/>
  <sheetViews>
    <sheetView zoomScale="60" zoomScaleNormal="60" zoomScaleSheetLayoutView="40" workbookViewId="0">
      <pane xSplit="4" ySplit="10" topLeftCell="E98" activePane="bottomRight" state="frozen"/>
      <selection activeCell="Q163" sqref="Q163"/>
      <selection pane="topRight" activeCell="Q163" sqref="Q163"/>
      <selection pane="bottomLeft" activeCell="Q163" sqref="Q163"/>
      <selection pane="bottomRight" activeCell="U127" sqref="U127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2.453125" style="6" customWidth="1" collapsed="1"/>
    <col min="5" max="9" width="19.90625" style="7" customWidth="1"/>
    <col min="10" max="11" width="19.90625" style="139" customWidth="1"/>
    <col min="12" max="12" width="19.90625" style="5" customWidth="1"/>
    <col min="13" max="16" width="19.90625" style="139" customWidth="1"/>
    <col min="17" max="17" width="34.453125" style="139" customWidth="1"/>
    <col min="18" max="18" width="14.453125" style="139" customWidth="1"/>
    <col min="19" max="19" width="22.453125" style="140" hidden="1" customWidth="1"/>
    <col min="20" max="20" width="22.453125" style="139" hidden="1" customWidth="1"/>
    <col min="21" max="21" width="13.08984375" style="139" bestFit="1" customWidth="1"/>
    <col min="22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</row>
    <row r="4" spans="1:20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S4" s="147"/>
    </row>
    <row r="5" spans="1:20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S5" s="147"/>
    </row>
    <row r="6" spans="1:20" s="138" customFormat="1" ht="25.4" customHeight="1">
      <c r="D6" s="10" t="s">
        <v>1145</v>
      </c>
      <c r="E6" s="143"/>
      <c r="F6" s="143"/>
      <c r="G6" s="143"/>
      <c r="H6" s="143"/>
      <c r="I6" s="143"/>
      <c r="L6" s="2"/>
      <c r="S6" s="147"/>
    </row>
    <row r="7" spans="1:20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S7" s="147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/>
      <c r="S9" s="148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439</v>
      </c>
      <c r="B12" s="3" t="s">
        <v>372</v>
      </c>
      <c r="C12" s="3"/>
      <c r="D12" s="26" t="s">
        <v>440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441</v>
      </c>
      <c r="B13" s="3" t="s">
        <v>372</v>
      </c>
      <c r="C13" s="3"/>
      <c r="D13" s="26" t="s">
        <v>442</v>
      </c>
      <c r="E13" s="63">
        <v>263500</v>
      </c>
      <c r="F13" s="63">
        <v>238000</v>
      </c>
      <c r="G13" s="63">
        <v>263500</v>
      </c>
      <c r="H13" s="63">
        <v>255000</v>
      </c>
      <c r="I13" s="63">
        <v>263500</v>
      </c>
      <c r="J13" s="63">
        <v>255000</v>
      </c>
      <c r="K13" s="63">
        <v>263500</v>
      </c>
      <c r="L13" s="63">
        <v>263500</v>
      </c>
      <c r="M13" s="63">
        <v>255000</v>
      </c>
      <c r="N13" s="63">
        <v>263500</v>
      </c>
      <c r="O13" s="63">
        <v>255000</v>
      </c>
      <c r="P13" s="63">
        <v>263500</v>
      </c>
      <c r="Q13" s="134">
        <f>SUM(E13:P13)</f>
        <v>3102500</v>
      </c>
      <c r="R13" s="134"/>
      <c r="S13" s="148"/>
      <c r="T13" s="40" t="e">
        <f t="shared" ref="T13:T28" si="0">IF(Q13-S13=0,0,(Q13-S13)/S13)</f>
        <v>#DIV/0!</v>
      </c>
    </row>
    <row r="14" spans="1:20" s="77" customFormat="1" ht="25.4" customHeight="1">
      <c r="A14" s="50" t="s">
        <v>443</v>
      </c>
      <c r="B14" s="3" t="s">
        <v>372</v>
      </c>
      <c r="C14" s="3"/>
      <c r="D14" s="26" t="s">
        <v>446</v>
      </c>
      <c r="E14" s="63"/>
      <c r="F14" s="63"/>
      <c r="G14" s="63"/>
      <c r="H14" s="63"/>
      <c r="I14" s="63"/>
      <c r="J14" s="63"/>
      <c r="K14" s="63"/>
      <c r="L14" s="63"/>
      <c r="M14" s="63"/>
      <c r="N14" s="146"/>
      <c r="O14" s="146"/>
      <c r="P14" s="146"/>
      <c r="Q14" s="134">
        <f>SUM(E14:P14)</f>
        <v>0</v>
      </c>
      <c r="R14" s="134"/>
      <c r="S14" s="148"/>
      <c r="T14" s="40">
        <f t="shared" si="0"/>
        <v>0</v>
      </c>
    </row>
    <row r="15" spans="1:20" s="77" customFormat="1" ht="25.4" customHeight="1">
      <c r="A15" s="50" t="s">
        <v>445</v>
      </c>
      <c r="B15" s="3" t="s">
        <v>372</v>
      </c>
      <c r="C15" s="3"/>
      <c r="D15" s="26" t="s">
        <v>444</v>
      </c>
      <c r="E15" s="63">
        <v>279000</v>
      </c>
      <c r="F15" s="63">
        <v>252000</v>
      </c>
      <c r="G15" s="63">
        <v>279000</v>
      </c>
      <c r="H15" s="63">
        <v>270000</v>
      </c>
      <c r="I15" s="63">
        <v>279000</v>
      </c>
      <c r="J15" s="63">
        <v>270000</v>
      </c>
      <c r="K15" s="63">
        <v>279000</v>
      </c>
      <c r="L15" s="63">
        <v>279000</v>
      </c>
      <c r="M15" s="63">
        <v>270000</v>
      </c>
      <c r="N15" s="63">
        <v>279000</v>
      </c>
      <c r="O15" s="63">
        <v>270000</v>
      </c>
      <c r="P15" s="63">
        <v>279000</v>
      </c>
      <c r="Q15" s="134">
        <f>SUM(E15:P15)</f>
        <v>3285000</v>
      </c>
      <c r="R15" s="134"/>
      <c r="S15" s="148"/>
      <c r="T15" s="40" t="e">
        <f t="shared" si="0"/>
        <v>#DIV/0!</v>
      </c>
    </row>
    <row r="16" spans="1:20" s="77" customFormat="1" ht="25.4" customHeight="1">
      <c r="A16" s="50" t="s">
        <v>447</v>
      </c>
      <c r="B16" s="3" t="s">
        <v>372</v>
      </c>
      <c r="C16" s="3"/>
      <c r="D16" s="26" t="s">
        <v>448</v>
      </c>
      <c r="E16" s="63"/>
      <c r="F16" s="63"/>
      <c r="G16" s="63"/>
      <c r="H16" s="63"/>
      <c r="I16" s="63"/>
      <c r="J16" s="63"/>
      <c r="K16" s="63"/>
      <c r="L16" s="63"/>
      <c r="M16" s="63"/>
      <c r="N16" s="146"/>
      <c r="O16" s="146"/>
      <c r="P16" s="146"/>
      <c r="Q16" s="134">
        <f>SUM(E16:P16)</f>
        <v>0</v>
      </c>
      <c r="R16" s="134"/>
      <c r="S16" s="148"/>
      <c r="T16" s="40">
        <f t="shared" si="0"/>
        <v>0</v>
      </c>
    </row>
    <row r="17" spans="1:21" s="77" customFormat="1" ht="25.4" customHeight="1">
      <c r="A17" s="3"/>
      <c r="B17" s="3"/>
      <c r="C17" s="3"/>
      <c r="D17" s="21" t="s">
        <v>397</v>
      </c>
      <c r="E17" s="45">
        <f>SUM(E12:E16)</f>
        <v>542500</v>
      </c>
      <c r="F17" s="45">
        <f t="shared" ref="F17:Q17" si="1">SUM(F12:F16)</f>
        <v>490000</v>
      </c>
      <c r="G17" s="45">
        <f t="shared" si="1"/>
        <v>542500</v>
      </c>
      <c r="H17" s="45">
        <f t="shared" si="1"/>
        <v>525000</v>
      </c>
      <c r="I17" s="45">
        <f t="shared" si="1"/>
        <v>542500</v>
      </c>
      <c r="J17" s="45">
        <f t="shared" si="1"/>
        <v>525000</v>
      </c>
      <c r="K17" s="45">
        <f t="shared" si="1"/>
        <v>542500</v>
      </c>
      <c r="L17" s="45">
        <f t="shared" si="1"/>
        <v>542500</v>
      </c>
      <c r="M17" s="45">
        <f t="shared" si="1"/>
        <v>525000</v>
      </c>
      <c r="N17" s="45">
        <f t="shared" si="1"/>
        <v>542500</v>
      </c>
      <c r="O17" s="45">
        <f t="shared" si="1"/>
        <v>525000</v>
      </c>
      <c r="P17" s="45">
        <f t="shared" si="1"/>
        <v>542500</v>
      </c>
      <c r="Q17" s="45">
        <f t="shared" si="1"/>
        <v>6387500</v>
      </c>
      <c r="R17" s="45"/>
      <c r="S17" s="148"/>
      <c r="T17" s="40" t="e">
        <f t="shared" si="0"/>
        <v>#DIV/0!</v>
      </c>
    </row>
    <row r="18" spans="1:21" s="77" customFormat="1" ht="25.4" customHeight="1">
      <c r="A18" s="3"/>
      <c r="B18" s="3"/>
      <c r="C18" s="3"/>
      <c r="D18" s="26"/>
      <c r="E18" s="106"/>
      <c r="F18" s="24"/>
      <c r="G18" s="106"/>
      <c r="H18" s="25"/>
      <c r="I18" s="25"/>
      <c r="J18" s="3"/>
      <c r="K18" s="3"/>
      <c r="L18" s="152"/>
      <c r="S18" s="148"/>
      <c r="T18" s="40"/>
    </row>
    <row r="19" spans="1:21" s="77" customFormat="1" ht="25.4" customHeight="1">
      <c r="A19" s="3"/>
      <c r="B19" s="3"/>
      <c r="C19" s="3"/>
      <c r="D19" s="21" t="s">
        <v>398</v>
      </c>
      <c r="E19" s="106"/>
      <c r="F19" s="63"/>
      <c r="G19" s="63"/>
      <c r="H19" s="63"/>
      <c r="I19" s="63"/>
      <c r="J19" s="3"/>
      <c r="K19" s="3"/>
      <c r="L19" s="152"/>
      <c r="S19" s="148"/>
      <c r="T19" s="40"/>
    </row>
    <row r="20" spans="1:21" s="77" customFormat="1" ht="25.4" customHeight="1">
      <c r="A20" s="50" t="s">
        <v>449</v>
      </c>
      <c r="B20" s="3" t="s">
        <v>372</v>
      </c>
      <c r="C20" s="3"/>
      <c r="D20" s="26" t="s">
        <v>440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134">
        <f>SUM(E20:P20)</f>
        <v>0</v>
      </c>
      <c r="R20" s="134"/>
      <c r="S20" s="148"/>
      <c r="T20" s="40">
        <f t="shared" si="0"/>
        <v>0</v>
      </c>
    </row>
    <row r="21" spans="1:21" s="77" customFormat="1" ht="25.4" customHeight="1">
      <c r="A21" s="50" t="s">
        <v>450</v>
      </c>
      <c r="B21" s="3" t="s">
        <v>372</v>
      </c>
      <c r="C21" s="3"/>
      <c r="D21" s="26" t="s">
        <v>442</v>
      </c>
      <c r="E21" s="63">
        <v>7750</v>
      </c>
      <c r="F21" s="63">
        <v>7000</v>
      </c>
      <c r="G21" s="63">
        <v>7750</v>
      </c>
      <c r="H21" s="63">
        <v>7500</v>
      </c>
      <c r="I21" s="63">
        <v>7750</v>
      </c>
      <c r="J21" s="63">
        <v>7500</v>
      </c>
      <c r="K21" s="63">
        <v>7750</v>
      </c>
      <c r="L21" s="63">
        <v>7750</v>
      </c>
      <c r="M21" s="63">
        <v>7500</v>
      </c>
      <c r="N21" s="63">
        <v>7750</v>
      </c>
      <c r="O21" s="63">
        <v>7500</v>
      </c>
      <c r="P21" s="63">
        <v>7750</v>
      </c>
      <c r="Q21" s="134">
        <f>SUM(E21:P21)</f>
        <v>91250</v>
      </c>
      <c r="R21" s="134"/>
      <c r="S21" s="148"/>
      <c r="T21" s="40" t="e">
        <f t="shared" si="0"/>
        <v>#DIV/0!</v>
      </c>
    </row>
    <row r="22" spans="1:21" s="77" customFormat="1" ht="25.4" customHeight="1">
      <c r="A22" s="50" t="s">
        <v>451</v>
      </c>
      <c r="B22" s="3" t="s">
        <v>372</v>
      </c>
      <c r="C22" s="3"/>
      <c r="D22" s="26" t="s">
        <v>446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134">
        <f>SUM(E22:P22)</f>
        <v>0</v>
      </c>
      <c r="R22" s="134"/>
      <c r="S22" s="148"/>
      <c r="T22" s="40">
        <f t="shared" si="0"/>
        <v>0</v>
      </c>
    </row>
    <row r="23" spans="1:21" s="77" customFormat="1" ht="25.4" customHeight="1">
      <c r="A23" s="50" t="s">
        <v>452</v>
      </c>
      <c r="B23" s="3" t="s">
        <v>372</v>
      </c>
      <c r="C23" s="3"/>
      <c r="D23" s="26" t="s">
        <v>444</v>
      </c>
      <c r="E23" s="63">
        <v>9765</v>
      </c>
      <c r="F23" s="63">
        <v>8820</v>
      </c>
      <c r="G23" s="63">
        <v>9765</v>
      </c>
      <c r="H23" s="63">
        <v>9450</v>
      </c>
      <c r="I23" s="63">
        <v>9765</v>
      </c>
      <c r="J23" s="63">
        <v>9450</v>
      </c>
      <c r="K23" s="63">
        <v>9765</v>
      </c>
      <c r="L23" s="63">
        <v>9765</v>
      </c>
      <c r="M23" s="63">
        <v>9450</v>
      </c>
      <c r="N23" s="146">
        <v>9765</v>
      </c>
      <c r="O23" s="146">
        <v>9450</v>
      </c>
      <c r="P23" s="146">
        <v>9765</v>
      </c>
      <c r="Q23" s="134">
        <f>SUM(E23:P23)</f>
        <v>114975</v>
      </c>
      <c r="R23" s="134"/>
      <c r="S23" s="148"/>
      <c r="T23" s="40" t="e">
        <f t="shared" si="0"/>
        <v>#DIV/0!</v>
      </c>
    </row>
    <row r="24" spans="1:21" s="77" customFormat="1" ht="25.4" customHeight="1">
      <c r="A24" s="50" t="s">
        <v>453</v>
      </c>
      <c r="B24" s="3" t="s">
        <v>372</v>
      </c>
      <c r="C24" s="3"/>
      <c r="D24" s="26" t="s">
        <v>448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134">
        <f>SUM(E24:P24)</f>
        <v>0</v>
      </c>
      <c r="R24" s="134"/>
      <c r="S24" s="148"/>
      <c r="T24" s="40">
        <f t="shared" si="0"/>
        <v>0</v>
      </c>
    </row>
    <row r="25" spans="1:21" s="77" customFormat="1" ht="24.75" customHeight="1">
      <c r="A25" s="3"/>
      <c r="B25" s="3"/>
      <c r="C25" s="3"/>
      <c r="D25" s="21" t="s">
        <v>401</v>
      </c>
      <c r="E25" s="45">
        <f>SUM(E20:E24)</f>
        <v>17515</v>
      </c>
      <c r="F25" s="45">
        <f t="shared" ref="F25:Q25" si="2">SUM(F20:F24)</f>
        <v>15820</v>
      </c>
      <c r="G25" s="45">
        <f t="shared" si="2"/>
        <v>17515</v>
      </c>
      <c r="H25" s="45">
        <f t="shared" si="2"/>
        <v>16950</v>
      </c>
      <c r="I25" s="45">
        <f t="shared" si="2"/>
        <v>17515</v>
      </c>
      <c r="J25" s="45">
        <f t="shared" si="2"/>
        <v>16950</v>
      </c>
      <c r="K25" s="45">
        <f t="shared" si="2"/>
        <v>17515</v>
      </c>
      <c r="L25" s="45">
        <f t="shared" si="2"/>
        <v>17515</v>
      </c>
      <c r="M25" s="45">
        <f t="shared" si="2"/>
        <v>16950</v>
      </c>
      <c r="N25" s="45">
        <f t="shared" si="2"/>
        <v>17515</v>
      </c>
      <c r="O25" s="45">
        <f t="shared" si="2"/>
        <v>16950</v>
      </c>
      <c r="P25" s="45">
        <f t="shared" si="2"/>
        <v>17515</v>
      </c>
      <c r="Q25" s="45">
        <f t="shared" si="2"/>
        <v>206225</v>
      </c>
      <c r="R25" s="45"/>
      <c r="S25" s="148"/>
      <c r="T25" s="40" t="e">
        <f t="shared" si="0"/>
        <v>#DIV/0!</v>
      </c>
    </row>
    <row r="26" spans="1:21" s="77" customFormat="1" ht="25.4" customHeight="1">
      <c r="A26" s="50" t="s">
        <v>407</v>
      </c>
      <c r="B26" s="3" t="s">
        <v>372</v>
      </c>
      <c r="C26" s="3"/>
      <c r="D26" s="26" t="s">
        <v>408</v>
      </c>
      <c r="E26" s="63"/>
      <c r="F26" s="63"/>
      <c r="G26" s="63"/>
      <c r="H26" s="63"/>
      <c r="I26" s="63"/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134">
        <f>SUM(E26:P26)</f>
        <v>0</v>
      </c>
      <c r="R26" s="134"/>
      <c r="S26" s="148"/>
      <c r="T26" s="40">
        <f>IF(S26&lt;&gt;0,(Q26-S26)/S26,1)</f>
        <v>1</v>
      </c>
    </row>
    <row r="27" spans="1:21" s="77" customFormat="1" ht="25.4" customHeight="1">
      <c r="A27" s="50" t="s">
        <v>128</v>
      </c>
      <c r="B27" s="3" t="s">
        <v>372</v>
      </c>
      <c r="C27" s="3"/>
      <c r="D27" s="26" t="s">
        <v>409</v>
      </c>
      <c r="E27" s="63">
        <f>+(E17+E25)*0.1</f>
        <v>56001.5</v>
      </c>
      <c r="F27" s="63">
        <f t="shared" ref="F27:P27" si="3">+(F17+F25)*0.1</f>
        <v>50582</v>
      </c>
      <c r="G27" s="63">
        <f t="shared" si="3"/>
        <v>56001.5</v>
      </c>
      <c r="H27" s="63">
        <f t="shared" si="3"/>
        <v>54195</v>
      </c>
      <c r="I27" s="63">
        <f t="shared" si="3"/>
        <v>56001.5</v>
      </c>
      <c r="J27" s="63">
        <f t="shared" si="3"/>
        <v>54195</v>
      </c>
      <c r="K27" s="63">
        <f t="shared" si="3"/>
        <v>56001.5</v>
      </c>
      <c r="L27" s="63">
        <f t="shared" si="3"/>
        <v>56001.5</v>
      </c>
      <c r="M27" s="63">
        <f t="shared" si="3"/>
        <v>54195</v>
      </c>
      <c r="N27" s="27">
        <f t="shared" si="3"/>
        <v>56001.5</v>
      </c>
      <c r="O27" s="27">
        <f t="shared" si="3"/>
        <v>54195</v>
      </c>
      <c r="P27" s="27">
        <f t="shared" si="3"/>
        <v>56001.5</v>
      </c>
      <c r="Q27" s="134">
        <f>SUM(E27:P27)</f>
        <v>659372.5</v>
      </c>
      <c r="R27" s="134"/>
      <c r="S27" s="148"/>
      <c r="T27" s="40" t="e">
        <f t="shared" si="0"/>
        <v>#DIV/0!</v>
      </c>
    </row>
    <row r="28" spans="1:21" s="77" customFormat="1" ht="25.4" customHeight="1">
      <c r="A28" s="50"/>
      <c r="B28" s="3"/>
      <c r="C28" s="3"/>
      <c r="D28" s="21" t="s">
        <v>410</v>
      </c>
      <c r="E28" s="45">
        <f>E17+E25+E26+E27</f>
        <v>616016.5</v>
      </c>
      <c r="F28" s="45">
        <f t="shared" ref="F28:Q28" si="4">F17+F25+F26+F27</f>
        <v>556402</v>
      </c>
      <c r="G28" s="45">
        <f t="shared" si="4"/>
        <v>616016.5</v>
      </c>
      <c r="H28" s="45">
        <f t="shared" si="4"/>
        <v>596145</v>
      </c>
      <c r="I28" s="45">
        <f t="shared" si="4"/>
        <v>616016.5</v>
      </c>
      <c r="J28" s="45">
        <f t="shared" si="4"/>
        <v>596145</v>
      </c>
      <c r="K28" s="45">
        <f t="shared" si="4"/>
        <v>616016.5</v>
      </c>
      <c r="L28" s="45">
        <f t="shared" si="4"/>
        <v>616016.5</v>
      </c>
      <c r="M28" s="45">
        <f t="shared" si="4"/>
        <v>596145</v>
      </c>
      <c r="N28" s="45">
        <f t="shared" si="4"/>
        <v>616016.5</v>
      </c>
      <c r="O28" s="45">
        <f t="shared" si="4"/>
        <v>596145</v>
      </c>
      <c r="P28" s="45">
        <f t="shared" si="4"/>
        <v>616016.5</v>
      </c>
      <c r="Q28" s="318">
        <f t="shared" si="4"/>
        <v>7253097.5</v>
      </c>
      <c r="R28" s="45"/>
      <c r="S28" s="148"/>
      <c r="T28" s="40" t="e">
        <f t="shared" si="0"/>
        <v>#DIV/0!</v>
      </c>
    </row>
    <row r="29" spans="1:21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3"/>
      <c r="K29" s="3"/>
      <c r="L29" s="152"/>
      <c r="S29" s="148"/>
      <c r="T29" s="40"/>
    </row>
    <row r="30" spans="1:21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3"/>
      <c r="K30" s="3"/>
      <c r="L30" s="152"/>
      <c r="S30" s="148"/>
      <c r="T30" s="40"/>
    </row>
    <row r="31" spans="1:21" s="77" customFormat="1" ht="25.4" customHeight="1">
      <c r="A31" s="50" t="s">
        <v>412</v>
      </c>
      <c r="B31" s="3" t="s">
        <v>372</v>
      </c>
      <c r="C31" s="3"/>
      <c r="D31" s="26" t="s">
        <v>413</v>
      </c>
      <c r="E31" s="63">
        <f>E17*36%</f>
        <v>195300</v>
      </c>
      <c r="F31" s="63">
        <f t="shared" ref="F31:P31" si="5">F17*36%</f>
        <v>176400</v>
      </c>
      <c r="G31" s="63">
        <f t="shared" si="5"/>
        <v>195300</v>
      </c>
      <c r="H31" s="63">
        <f t="shared" si="5"/>
        <v>189000</v>
      </c>
      <c r="I31" s="63">
        <f t="shared" si="5"/>
        <v>195300</v>
      </c>
      <c r="J31" s="63">
        <f t="shared" si="5"/>
        <v>189000</v>
      </c>
      <c r="K31" s="63">
        <f t="shared" si="5"/>
        <v>195300</v>
      </c>
      <c r="L31" s="63">
        <f t="shared" si="5"/>
        <v>195300</v>
      </c>
      <c r="M31" s="63">
        <f t="shared" si="5"/>
        <v>189000</v>
      </c>
      <c r="N31" s="63">
        <f t="shared" si="5"/>
        <v>195300</v>
      </c>
      <c r="O31" s="63">
        <f t="shared" si="5"/>
        <v>189000</v>
      </c>
      <c r="P31" s="63">
        <f t="shared" si="5"/>
        <v>195300</v>
      </c>
      <c r="Q31" s="134">
        <f>SUM(E31:P31)</f>
        <v>2299500</v>
      </c>
      <c r="R31" s="159">
        <f>Q31/Q17</f>
        <v>0.36</v>
      </c>
      <c r="S31" s="148"/>
      <c r="T31" s="40" t="e">
        <f>-IF(Q31-S31=0,0,(Q31-S31)/S31)</f>
        <v>#DIV/0!</v>
      </c>
      <c r="U31" s="319"/>
    </row>
    <row r="32" spans="1:21" s="77" customFormat="1" ht="24.75" customHeight="1">
      <c r="A32" s="3" t="s">
        <v>414</v>
      </c>
      <c r="B32" s="3" t="s">
        <v>372</v>
      </c>
      <c r="C32" s="3"/>
      <c r="D32" s="26" t="s">
        <v>415</v>
      </c>
      <c r="E32" s="63">
        <f>E25*33%</f>
        <v>5779.95</v>
      </c>
      <c r="F32" s="63">
        <f t="shared" ref="F32:P32" si="6">F25*33%</f>
        <v>5220.6000000000004</v>
      </c>
      <c r="G32" s="63">
        <f t="shared" si="6"/>
        <v>5779.95</v>
      </c>
      <c r="H32" s="63">
        <f t="shared" si="6"/>
        <v>5593.5</v>
      </c>
      <c r="I32" s="63">
        <f t="shared" si="6"/>
        <v>5779.95</v>
      </c>
      <c r="J32" s="63">
        <f t="shared" si="6"/>
        <v>5593.5</v>
      </c>
      <c r="K32" s="63">
        <f t="shared" si="6"/>
        <v>5779.95</v>
      </c>
      <c r="L32" s="63">
        <f t="shared" si="6"/>
        <v>5779.95</v>
      </c>
      <c r="M32" s="63">
        <f t="shared" si="6"/>
        <v>5593.5</v>
      </c>
      <c r="N32" s="63">
        <f t="shared" si="6"/>
        <v>5779.95</v>
      </c>
      <c r="O32" s="63">
        <f t="shared" si="6"/>
        <v>5593.5</v>
      </c>
      <c r="P32" s="63">
        <f t="shared" si="6"/>
        <v>5779.95</v>
      </c>
      <c r="Q32" s="134">
        <f>SUM(E32:P32)</f>
        <v>68054.249999999985</v>
      </c>
      <c r="R32" s="159">
        <f>Q32/Q25</f>
        <v>0.3299999999999999</v>
      </c>
      <c r="S32" s="148"/>
      <c r="T32" s="40" t="e">
        <f t="shared" ref="T32:T95" si="7">-IF(Q32-S32=0,0,(Q32-S32)/S32)</f>
        <v>#DIV/0!</v>
      </c>
      <c r="U32" s="319"/>
    </row>
    <row r="33" spans="1:20" s="77" customFormat="1" ht="25.4" customHeight="1">
      <c r="A33" s="3" t="s">
        <v>454</v>
      </c>
      <c r="B33" s="3" t="s">
        <v>372</v>
      </c>
      <c r="C33" s="3"/>
      <c r="D33" s="26" t="s">
        <v>419</v>
      </c>
      <c r="E33" s="63"/>
      <c r="F33" s="63"/>
      <c r="G33" s="63"/>
      <c r="H33" s="63"/>
      <c r="I33" s="63"/>
      <c r="J33" s="61"/>
      <c r="K33" s="61"/>
      <c r="L33" s="61"/>
      <c r="M33" s="27">
        <v>0</v>
      </c>
      <c r="N33" s="27">
        <v>0</v>
      </c>
      <c r="O33" s="27">
        <v>0</v>
      </c>
      <c r="P33" s="27">
        <v>0</v>
      </c>
      <c r="Q33" s="134">
        <f>SUM(E33:P33)</f>
        <v>0</v>
      </c>
      <c r="R33" s="159" t="e">
        <f>Q33/Q26</f>
        <v>#DIV/0!</v>
      </c>
      <c r="S33" s="148"/>
      <c r="T33" s="40">
        <f t="shared" si="7"/>
        <v>0</v>
      </c>
    </row>
    <row r="34" spans="1:20" s="77" customFormat="1" ht="25.4" customHeight="1">
      <c r="A34" s="3"/>
      <c r="B34" s="3"/>
      <c r="C34" s="3"/>
      <c r="D34" s="21" t="s">
        <v>420</v>
      </c>
      <c r="E34" s="45">
        <f t="shared" ref="E34:P34" si="8">+SUM(E31:E33)</f>
        <v>201079.95</v>
      </c>
      <c r="F34" s="45">
        <f t="shared" si="8"/>
        <v>181620.6</v>
      </c>
      <c r="G34" s="45">
        <f t="shared" si="8"/>
        <v>201079.95</v>
      </c>
      <c r="H34" s="45">
        <f t="shared" si="8"/>
        <v>194593.5</v>
      </c>
      <c r="I34" s="45">
        <f t="shared" si="8"/>
        <v>201079.95</v>
      </c>
      <c r="J34" s="45">
        <f t="shared" si="8"/>
        <v>194593.5</v>
      </c>
      <c r="K34" s="45">
        <f t="shared" si="8"/>
        <v>201079.95</v>
      </c>
      <c r="L34" s="45">
        <f t="shared" si="8"/>
        <v>201079.95</v>
      </c>
      <c r="M34" s="45">
        <f t="shared" si="8"/>
        <v>194593.5</v>
      </c>
      <c r="N34" s="45">
        <f t="shared" si="8"/>
        <v>201079.95</v>
      </c>
      <c r="O34" s="45">
        <f t="shared" si="8"/>
        <v>194593.5</v>
      </c>
      <c r="P34" s="45">
        <f t="shared" si="8"/>
        <v>201079.95</v>
      </c>
      <c r="Q34" s="45">
        <f>SUM(Q31:Q33)</f>
        <v>2367554.25</v>
      </c>
      <c r="R34" s="149">
        <f>Q34/$Q$28</f>
        <v>0.32641974687366326</v>
      </c>
      <c r="S34" s="148"/>
      <c r="T34" s="40" t="e">
        <f t="shared" si="7"/>
        <v>#DIV/0!</v>
      </c>
    </row>
    <row r="35" spans="1:20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3"/>
      <c r="K35" s="3"/>
      <c r="L35" s="152"/>
      <c r="Q35" s="150"/>
      <c r="S35" s="148"/>
      <c r="T35" s="40"/>
    </row>
    <row r="36" spans="1:20" s="77" customFormat="1" ht="25.4" customHeight="1">
      <c r="A36" s="3" t="s">
        <v>106</v>
      </c>
      <c r="B36" s="3" t="s">
        <v>372</v>
      </c>
      <c r="C36" s="3"/>
      <c r="D36" s="21" t="s">
        <v>139</v>
      </c>
      <c r="E36" s="45">
        <f>+E163</f>
        <v>235818.16</v>
      </c>
      <c r="F36" s="45">
        <f t="shared" ref="F36:P36" si="9">+F163</f>
        <v>257431.08000000002</v>
      </c>
      <c r="G36" s="45">
        <f t="shared" si="9"/>
        <v>187897.46000000002</v>
      </c>
      <c r="H36" s="45">
        <f t="shared" si="9"/>
        <v>214933.11</v>
      </c>
      <c r="I36" s="45">
        <f t="shared" si="9"/>
        <v>219011.76</v>
      </c>
      <c r="J36" s="45">
        <f t="shared" si="9"/>
        <v>208730.51</v>
      </c>
      <c r="K36" s="45">
        <f t="shared" si="9"/>
        <v>242318.15</v>
      </c>
      <c r="L36" s="45">
        <f t="shared" si="9"/>
        <v>260113.55000000002</v>
      </c>
      <c r="M36" s="45">
        <f t="shared" si="9"/>
        <v>303357.89</v>
      </c>
      <c r="N36" s="45">
        <f t="shared" si="9"/>
        <v>223787.94999999998</v>
      </c>
      <c r="O36" s="45">
        <f t="shared" si="9"/>
        <v>200446.34</v>
      </c>
      <c r="P36" s="45">
        <f t="shared" si="9"/>
        <v>215843.16999999998</v>
      </c>
      <c r="Q36" s="45">
        <f>SUM(E36:P36)</f>
        <v>2769689.13</v>
      </c>
      <c r="R36" s="149">
        <f>Q36/$Q$28</f>
        <v>0.38186293924768</v>
      </c>
      <c r="S36" s="148"/>
      <c r="T36" s="40" t="e">
        <f t="shared" si="7"/>
        <v>#DIV/0!</v>
      </c>
    </row>
    <row r="37" spans="1:20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3"/>
      <c r="K37" s="3"/>
      <c r="L37" s="152"/>
      <c r="S37" s="148"/>
      <c r="T37" s="40"/>
    </row>
    <row r="38" spans="1:20" s="77" customFormat="1" ht="24.75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3"/>
      <c r="K38" s="3"/>
      <c r="L38" s="152"/>
      <c r="R38" s="34" t="s">
        <v>421</v>
      </c>
      <c r="S38" s="148"/>
      <c r="T38" s="40"/>
    </row>
    <row r="39" spans="1:20" s="77" customFormat="1" ht="25.4" customHeight="1">
      <c r="A39" s="3" t="s">
        <v>142</v>
      </c>
      <c r="B39" s="3" t="s">
        <v>372</v>
      </c>
      <c r="C39" s="3"/>
      <c r="D39" s="26" t="s">
        <v>143</v>
      </c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134">
        <f>SUM(E39:P39)</f>
        <v>0</v>
      </c>
      <c r="R39" s="134">
        <f>Q39/$Q$117</f>
        <v>0</v>
      </c>
      <c r="S39" s="148"/>
      <c r="T39" s="40">
        <f t="shared" si="7"/>
        <v>0</v>
      </c>
    </row>
    <row r="40" spans="1:20" s="77" customFormat="1" ht="25.4" customHeight="1">
      <c r="A40" s="3" t="s">
        <v>144</v>
      </c>
      <c r="B40" s="3" t="s">
        <v>372</v>
      </c>
      <c r="C40" s="3"/>
      <c r="D40" s="26" t="s">
        <v>145</v>
      </c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134">
        <f t="shared" ref="Q40:Q103" si="10">SUM(E40:P40)</f>
        <v>0</v>
      </c>
      <c r="R40" s="134">
        <f t="shared" ref="R40:R103" si="11">Q40/$Q$117</f>
        <v>0</v>
      </c>
      <c r="S40" s="148"/>
      <c r="T40" s="40">
        <f t="shared" si="7"/>
        <v>0</v>
      </c>
    </row>
    <row r="41" spans="1:20" s="77" customFormat="1" ht="25.4" customHeight="1">
      <c r="A41" s="3" t="s">
        <v>146</v>
      </c>
      <c r="B41" s="3" t="s">
        <v>372</v>
      </c>
      <c r="C41" s="3"/>
      <c r="D41" s="26" t="s">
        <v>147</v>
      </c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134">
        <f t="shared" si="10"/>
        <v>0</v>
      </c>
      <c r="R41" s="134">
        <f t="shared" si="11"/>
        <v>0</v>
      </c>
      <c r="S41" s="148"/>
      <c r="T41" s="40">
        <f t="shared" si="7"/>
        <v>0</v>
      </c>
    </row>
    <row r="42" spans="1:20" s="77" customFormat="1" ht="25.4" customHeight="1">
      <c r="A42" s="3" t="s">
        <v>148</v>
      </c>
      <c r="B42" s="3" t="s">
        <v>372</v>
      </c>
      <c r="C42" s="3"/>
      <c r="D42" s="26" t="s">
        <v>149</v>
      </c>
      <c r="E42" s="388">
        <f t="shared" ref="E42:P42" si="12">ROUND(E117*1,2)</f>
        <v>2945</v>
      </c>
      <c r="F42" s="388">
        <f t="shared" si="12"/>
        <v>2660</v>
      </c>
      <c r="G42" s="388">
        <f t="shared" si="12"/>
        <v>2945</v>
      </c>
      <c r="H42" s="388">
        <f t="shared" si="12"/>
        <v>2850</v>
      </c>
      <c r="I42" s="388">
        <f t="shared" si="12"/>
        <v>2945</v>
      </c>
      <c r="J42" s="388">
        <f t="shared" si="12"/>
        <v>2850</v>
      </c>
      <c r="K42" s="388">
        <f t="shared" si="12"/>
        <v>2945</v>
      </c>
      <c r="L42" s="388">
        <f t="shared" si="12"/>
        <v>2945</v>
      </c>
      <c r="M42" s="388">
        <f t="shared" si="12"/>
        <v>2850</v>
      </c>
      <c r="N42" s="388">
        <f t="shared" si="12"/>
        <v>2945</v>
      </c>
      <c r="O42" s="388">
        <f t="shared" si="12"/>
        <v>2850</v>
      </c>
      <c r="P42" s="388">
        <f t="shared" si="12"/>
        <v>2945</v>
      </c>
      <c r="Q42" s="61">
        <f t="shared" si="10"/>
        <v>34675</v>
      </c>
      <c r="R42" s="61">
        <f t="shared" si="11"/>
        <v>1</v>
      </c>
      <c r="S42" s="148"/>
      <c r="T42" s="40" t="e">
        <f t="shared" si="7"/>
        <v>#DIV/0!</v>
      </c>
    </row>
    <row r="43" spans="1:20" s="77" customFormat="1" ht="25.4" customHeight="1">
      <c r="A43" s="3" t="s">
        <v>150</v>
      </c>
      <c r="B43" s="3" t="s">
        <v>372</v>
      </c>
      <c r="C43" s="3"/>
      <c r="D43" s="26" t="s">
        <v>151</v>
      </c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61">
        <f t="shared" si="10"/>
        <v>0</v>
      </c>
      <c r="R43" s="61">
        <f t="shared" si="11"/>
        <v>0</v>
      </c>
      <c r="S43" s="148"/>
      <c r="T43" s="40">
        <f t="shared" si="7"/>
        <v>0</v>
      </c>
    </row>
    <row r="44" spans="1:20" s="77" customFormat="1" ht="25.4" customHeight="1">
      <c r="A44" s="3" t="s">
        <v>152</v>
      </c>
      <c r="B44" s="3" t="s">
        <v>372</v>
      </c>
      <c r="C44" s="3"/>
      <c r="D44" s="26" t="s">
        <v>153</v>
      </c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61">
        <f t="shared" si="10"/>
        <v>0</v>
      </c>
      <c r="R44" s="61">
        <f t="shared" si="11"/>
        <v>0</v>
      </c>
      <c r="S44" s="148"/>
      <c r="T44" s="40">
        <f t="shared" si="7"/>
        <v>0</v>
      </c>
    </row>
    <row r="45" spans="1:20" s="77" customFormat="1" ht="25.4" customHeight="1">
      <c r="A45" s="3" t="s">
        <v>154</v>
      </c>
      <c r="B45" s="3" t="s">
        <v>372</v>
      </c>
      <c r="C45" s="3"/>
      <c r="D45" s="26" t="s">
        <v>155</v>
      </c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61">
        <f t="shared" si="10"/>
        <v>0</v>
      </c>
      <c r="R45" s="61">
        <f t="shared" si="11"/>
        <v>0</v>
      </c>
      <c r="S45" s="148"/>
      <c r="T45" s="40">
        <f t="shared" si="7"/>
        <v>0</v>
      </c>
    </row>
    <row r="46" spans="1:20" s="77" customFormat="1" ht="25.4" customHeight="1">
      <c r="A46" s="3" t="s">
        <v>156</v>
      </c>
      <c r="B46" s="3" t="s">
        <v>372</v>
      </c>
      <c r="C46" s="3"/>
      <c r="D46" s="26" t="s">
        <v>157</v>
      </c>
      <c r="E46" s="388">
        <f t="shared" ref="E46:P46" si="13">ROUND(E117*1,2)</f>
        <v>2945</v>
      </c>
      <c r="F46" s="388">
        <f t="shared" si="13"/>
        <v>2660</v>
      </c>
      <c r="G46" s="388">
        <f t="shared" si="13"/>
        <v>2945</v>
      </c>
      <c r="H46" s="388">
        <f t="shared" si="13"/>
        <v>2850</v>
      </c>
      <c r="I46" s="388">
        <f t="shared" si="13"/>
        <v>2945</v>
      </c>
      <c r="J46" s="388">
        <f t="shared" si="13"/>
        <v>2850</v>
      </c>
      <c r="K46" s="388">
        <f t="shared" si="13"/>
        <v>2945</v>
      </c>
      <c r="L46" s="388">
        <f t="shared" si="13"/>
        <v>2945</v>
      </c>
      <c r="M46" s="388">
        <f t="shared" si="13"/>
        <v>2850</v>
      </c>
      <c r="N46" s="388">
        <f t="shared" si="13"/>
        <v>2945</v>
      </c>
      <c r="O46" s="388">
        <f t="shared" si="13"/>
        <v>2850</v>
      </c>
      <c r="P46" s="388">
        <f t="shared" si="13"/>
        <v>2945</v>
      </c>
      <c r="Q46" s="61">
        <f t="shared" si="10"/>
        <v>34675</v>
      </c>
      <c r="R46" s="61">
        <f t="shared" si="11"/>
        <v>1</v>
      </c>
      <c r="S46" s="148"/>
      <c r="T46" s="40" t="e">
        <f t="shared" si="7"/>
        <v>#DIV/0!</v>
      </c>
    </row>
    <row r="47" spans="1:20" s="77" customFormat="1" ht="25.4" customHeight="1">
      <c r="A47" s="3" t="s">
        <v>158</v>
      </c>
      <c r="B47" s="3" t="s">
        <v>372</v>
      </c>
      <c r="C47" s="3"/>
      <c r="D47" s="26" t="s">
        <v>159</v>
      </c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  <c r="Q47" s="61">
        <f t="shared" si="10"/>
        <v>0</v>
      </c>
      <c r="R47" s="61">
        <f t="shared" si="11"/>
        <v>0</v>
      </c>
      <c r="S47" s="148"/>
      <c r="T47" s="40">
        <f t="shared" si="7"/>
        <v>0</v>
      </c>
    </row>
    <row r="48" spans="1:20" s="77" customFormat="1" ht="25.4" customHeight="1">
      <c r="A48" s="3" t="s">
        <v>160</v>
      </c>
      <c r="B48" s="3" t="s">
        <v>372</v>
      </c>
      <c r="C48" s="3"/>
      <c r="D48" s="26" t="s">
        <v>161</v>
      </c>
      <c r="E48" s="388">
        <f t="shared" ref="E48:P48" si="14">ROUND(E117*1,2)</f>
        <v>2945</v>
      </c>
      <c r="F48" s="388">
        <f t="shared" si="14"/>
        <v>2660</v>
      </c>
      <c r="G48" s="388">
        <f t="shared" si="14"/>
        <v>2945</v>
      </c>
      <c r="H48" s="388">
        <f t="shared" si="14"/>
        <v>2850</v>
      </c>
      <c r="I48" s="388">
        <f t="shared" si="14"/>
        <v>2945</v>
      </c>
      <c r="J48" s="388">
        <f t="shared" si="14"/>
        <v>2850</v>
      </c>
      <c r="K48" s="388">
        <f t="shared" si="14"/>
        <v>2945</v>
      </c>
      <c r="L48" s="388">
        <f t="shared" si="14"/>
        <v>2945</v>
      </c>
      <c r="M48" s="388">
        <f t="shared" si="14"/>
        <v>2850</v>
      </c>
      <c r="N48" s="388">
        <f t="shared" si="14"/>
        <v>2945</v>
      </c>
      <c r="O48" s="388">
        <f t="shared" si="14"/>
        <v>2850</v>
      </c>
      <c r="P48" s="388">
        <f t="shared" si="14"/>
        <v>2945</v>
      </c>
      <c r="Q48" s="61">
        <f t="shared" si="10"/>
        <v>34675</v>
      </c>
      <c r="R48" s="61">
        <f t="shared" si="11"/>
        <v>1</v>
      </c>
      <c r="S48" s="148"/>
      <c r="T48" s="40" t="e">
        <f t="shared" si="7"/>
        <v>#DIV/0!</v>
      </c>
    </row>
    <row r="49" spans="1:20" s="77" customFormat="1" ht="25.4" customHeight="1">
      <c r="A49" s="3" t="s">
        <v>162</v>
      </c>
      <c r="B49" s="3" t="s">
        <v>372</v>
      </c>
      <c r="C49" s="3"/>
      <c r="D49" s="26" t="s">
        <v>163</v>
      </c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61">
        <f t="shared" si="10"/>
        <v>0</v>
      </c>
      <c r="R49" s="61">
        <f t="shared" si="11"/>
        <v>0</v>
      </c>
      <c r="S49" s="148"/>
      <c r="T49" s="40">
        <f t="shared" si="7"/>
        <v>0</v>
      </c>
    </row>
    <row r="50" spans="1:20" s="77" customFormat="1" ht="25.4" customHeight="1">
      <c r="A50" s="3" t="s">
        <v>164</v>
      </c>
      <c r="B50" s="3" t="s">
        <v>372</v>
      </c>
      <c r="C50" s="3"/>
      <c r="D50" s="26" t="s">
        <v>165</v>
      </c>
      <c r="E50" s="388">
        <v>2000</v>
      </c>
      <c r="F50" s="388">
        <v>2000</v>
      </c>
      <c r="G50" s="388">
        <v>2000</v>
      </c>
      <c r="H50" s="388">
        <v>2000</v>
      </c>
      <c r="I50" s="388">
        <v>2000</v>
      </c>
      <c r="J50" s="388">
        <v>2000</v>
      </c>
      <c r="K50" s="388">
        <v>2000</v>
      </c>
      <c r="L50" s="388">
        <v>2000</v>
      </c>
      <c r="M50" s="388">
        <v>2000</v>
      </c>
      <c r="N50" s="388">
        <v>2000</v>
      </c>
      <c r="O50" s="388">
        <v>2000</v>
      </c>
      <c r="P50" s="388">
        <v>2000</v>
      </c>
      <c r="Q50" s="61">
        <f t="shared" si="10"/>
        <v>24000</v>
      </c>
      <c r="R50" s="61">
        <f t="shared" si="11"/>
        <v>0.69214131218457098</v>
      </c>
      <c r="S50" s="148"/>
      <c r="T50" s="40"/>
    </row>
    <row r="51" spans="1:20" s="77" customFormat="1" ht="25.4" customHeight="1">
      <c r="A51" s="3" t="s">
        <v>166</v>
      </c>
      <c r="B51" s="3" t="s">
        <v>372</v>
      </c>
      <c r="C51" s="3"/>
      <c r="D51" s="26" t="s">
        <v>167</v>
      </c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61">
        <f t="shared" si="10"/>
        <v>0</v>
      </c>
      <c r="R51" s="61">
        <f t="shared" si="11"/>
        <v>0</v>
      </c>
      <c r="S51" s="148"/>
      <c r="T51" s="40">
        <f t="shared" si="7"/>
        <v>0</v>
      </c>
    </row>
    <row r="52" spans="1:20" s="77" customFormat="1" ht="25.4" customHeight="1">
      <c r="A52" s="3" t="s">
        <v>168</v>
      </c>
      <c r="B52" s="3" t="s">
        <v>372</v>
      </c>
      <c r="C52" s="3"/>
      <c r="D52" s="26" t="s">
        <v>169</v>
      </c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61">
        <f t="shared" si="10"/>
        <v>0</v>
      </c>
      <c r="R52" s="61">
        <f t="shared" si="11"/>
        <v>0</v>
      </c>
      <c r="S52" s="148"/>
      <c r="T52" s="40">
        <f t="shared" si="7"/>
        <v>0</v>
      </c>
    </row>
    <row r="53" spans="1:20" s="77" customFormat="1" ht="25.4" customHeight="1">
      <c r="A53" s="3" t="s">
        <v>170</v>
      </c>
      <c r="B53" s="3" t="s">
        <v>372</v>
      </c>
      <c r="C53" s="3"/>
      <c r="D53" s="26" t="s">
        <v>171</v>
      </c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61">
        <f t="shared" si="10"/>
        <v>0</v>
      </c>
      <c r="R53" s="61">
        <f t="shared" si="11"/>
        <v>0</v>
      </c>
      <c r="S53" s="148"/>
      <c r="T53" s="40">
        <f t="shared" si="7"/>
        <v>0</v>
      </c>
    </row>
    <row r="54" spans="1:20" s="77" customFormat="1" ht="25.4" customHeight="1">
      <c r="A54" s="3" t="s">
        <v>172</v>
      </c>
      <c r="B54" s="3" t="s">
        <v>372</v>
      </c>
      <c r="C54" s="3"/>
      <c r="D54" s="26" t="s">
        <v>173</v>
      </c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61">
        <f t="shared" si="10"/>
        <v>0</v>
      </c>
      <c r="R54" s="61">
        <f t="shared" si="11"/>
        <v>0</v>
      </c>
      <c r="S54" s="148"/>
      <c r="T54" s="40">
        <f t="shared" si="7"/>
        <v>0</v>
      </c>
    </row>
    <row r="55" spans="1:20" s="77" customFormat="1" ht="25.4" customHeight="1">
      <c r="A55" s="3" t="s">
        <v>174</v>
      </c>
      <c r="B55" s="3" t="s">
        <v>372</v>
      </c>
      <c r="C55" s="3"/>
      <c r="D55" s="26" t="s">
        <v>175</v>
      </c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  <c r="Q55" s="61">
        <f t="shared" si="10"/>
        <v>0</v>
      </c>
      <c r="R55" s="61">
        <f t="shared" si="11"/>
        <v>0</v>
      </c>
      <c r="S55" s="148"/>
      <c r="T55" s="40">
        <f t="shared" si="7"/>
        <v>0</v>
      </c>
    </row>
    <row r="56" spans="1:20" s="77" customFormat="1" ht="25.4" customHeight="1">
      <c r="A56" s="3" t="s">
        <v>176</v>
      </c>
      <c r="B56" s="3" t="s">
        <v>372</v>
      </c>
      <c r="C56" s="3"/>
      <c r="D56" s="26" t="s">
        <v>177</v>
      </c>
      <c r="E56" s="388">
        <f t="shared" ref="E56:P56" si="15">ROUND(E117*0.5,2)</f>
        <v>1472.5</v>
      </c>
      <c r="F56" s="388">
        <f t="shared" si="15"/>
        <v>1330</v>
      </c>
      <c r="G56" s="388">
        <f t="shared" si="15"/>
        <v>1472.5</v>
      </c>
      <c r="H56" s="388">
        <f t="shared" si="15"/>
        <v>1425</v>
      </c>
      <c r="I56" s="388">
        <f t="shared" si="15"/>
        <v>1472.5</v>
      </c>
      <c r="J56" s="388">
        <f t="shared" si="15"/>
        <v>1425</v>
      </c>
      <c r="K56" s="388">
        <f t="shared" si="15"/>
        <v>1472.5</v>
      </c>
      <c r="L56" s="388">
        <f t="shared" si="15"/>
        <v>1472.5</v>
      </c>
      <c r="M56" s="388">
        <f t="shared" si="15"/>
        <v>1425</v>
      </c>
      <c r="N56" s="388">
        <f t="shared" si="15"/>
        <v>1472.5</v>
      </c>
      <c r="O56" s="388">
        <f t="shared" si="15"/>
        <v>1425</v>
      </c>
      <c r="P56" s="388">
        <f t="shared" si="15"/>
        <v>1472.5</v>
      </c>
      <c r="Q56" s="61">
        <f t="shared" si="10"/>
        <v>17337.5</v>
      </c>
      <c r="R56" s="61">
        <f t="shared" si="11"/>
        <v>0.5</v>
      </c>
      <c r="S56" s="148"/>
      <c r="T56" s="40" t="e">
        <f t="shared" si="7"/>
        <v>#DIV/0!</v>
      </c>
    </row>
    <row r="57" spans="1:20" s="77" customFormat="1" ht="25.4" customHeight="1">
      <c r="A57" s="3" t="s">
        <v>178</v>
      </c>
      <c r="B57" s="3" t="s">
        <v>372</v>
      </c>
      <c r="C57" s="3"/>
      <c r="D57" s="26" t="s">
        <v>179</v>
      </c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  <c r="Q57" s="61">
        <f t="shared" si="10"/>
        <v>0</v>
      </c>
      <c r="R57" s="61">
        <f t="shared" si="11"/>
        <v>0</v>
      </c>
      <c r="S57" s="148"/>
      <c r="T57" s="40">
        <f t="shared" si="7"/>
        <v>0</v>
      </c>
    </row>
    <row r="58" spans="1:20" s="77" customFormat="1" ht="25.4" customHeight="1">
      <c r="A58" s="3" t="s">
        <v>180</v>
      </c>
      <c r="B58" s="3" t="s">
        <v>372</v>
      </c>
      <c r="C58" s="3"/>
      <c r="D58" s="26" t="s">
        <v>181</v>
      </c>
      <c r="E58" s="388"/>
      <c r="F58" s="388"/>
      <c r="G58" s="388"/>
      <c r="H58" s="388"/>
      <c r="I58" s="388"/>
      <c r="J58" s="388">
        <v>2000</v>
      </c>
      <c r="K58" s="388">
        <v>2000</v>
      </c>
      <c r="L58" s="388">
        <v>2000</v>
      </c>
      <c r="M58" s="388">
        <v>2000</v>
      </c>
      <c r="N58" s="388">
        <v>2000</v>
      </c>
      <c r="O58" s="388">
        <v>2000</v>
      </c>
      <c r="P58" s="388">
        <v>2000</v>
      </c>
      <c r="Q58" s="61">
        <f t="shared" si="10"/>
        <v>14000</v>
      </c>
      <c r="R58" s="61">
        <f t="shared" si="11"/>
        <v>0.40374909877433307</v>
      </c>
      <c r="S58" s="148"/>
      <c r="T58" s="40"/>
    </row>
    <row r="59" spans="1:20" s="77" customFormat="1" ht="25.4" customHeight="1">
      <c r="A59" s="3" t="s">
        <v>182</v>
      </c>
      <c r="B59" s="3" t="s">
        <v>372</v>
      </c>
      <c r="C59" s="3"/>
      <c r="D59" s="26" t="s">
        <v>183</v>
      </c>
      <c r="E59" s="388">
        <f>ROUND(E117*0.8,2)</f>
        <v>2356</v>
      </c>
      <c r="F59" s="388">
        <f t="shared" ref="F59:P59" si="16">ROUND(F117*0.8,2)</f>
        <v>2128</v>
      </c>
      <c r="G59" s="388">
        <f t="shared" si="16"/>
        <v>2356</v>
      </c>
      <c r="H59" s="388">
        <f t="shared" si="16"/>
        <v>2280</v>
      </c>
      <c r="I59" s="388">
        <f t="shared" si="16"/>
        <v>2356</v>
      </c>
      <c r="J59" s="388">
        <f t="shared" si="16"/>
        <v>2280</v>
      </c>
      <c r="K59" s="388">
        <f t="shared" si="16"/>
        <v>2356</v>
      </c>
      <c r="L59" s="388">
        <f t="shared" si="16"/>
        <v>2356</v>
      </c>
      <c r="M59" s="388">
        <f t="shared" si="16"/>
        <v>2280</v>
      </c>
      <c r="N59" s="388">
        <f t="shared" si="16"/>
        <v>2356</v>
      </c>
      <c r="O59" s="388">
        <f t="shared" si="16"/>
        <v>2280</v>
      </c>
      <c r="P59" s="388">
        <f t="shared" si="16"/>
        <v>2356</v>
      </c>
      <c r="Q59" s="61">
        <f t="shared" si="10"/>
        <v>27740</v>
      </c>
      <c r="R59" s="61">
        <f t="shared" si="11"/>
        <v>0.8</v>
      </c>
      <c r="S59" s="148"/>
      <c r="T59" s="40"/>
    </row>
    <row r="60" spans="1:20" s="77" customFormat="1" ht="25.4" customHeight="1">
      <c r="A60" s="3" t="s">
        <v>184</v>
      </c>
      <c r="B60" s="3" t="s">
        <v>372</v>
      </c>
      <c r="C60" s="3"/>
      <c r="D60" s="26" t="s">
        <v>185</v>
      </c>
      <c r="E60" s="388"/>
      <c r="F60" s="388"/>
      <c r="G60" s="388"/>
      <c r="H60" s="388"/>
      <c r="I60" s="388"/>
      <c r="J60" s="388">
        <v>200</v>
      </c>
      <c r="K60" s="388">
        <v>200</v>
      </c>
      <c r="L60" s="388">
        <v>200</v>
      </c>
      <c r="M60" s="388">
        <v>200</v>
      </c>
      <c r="N60" s="388">
        <v>200</v>
      </c>
      <c r="O60" s="388">
        <v>200</v>
      </c>
      <c r="P60" s="388">
        <v>200</v>
      </c>
      <c r="Q60" s="61">
        <f t="shared" si="10"/>
        <v>1400</v>
      </c>
      <c r="R60" s="61">
        <f t="shared" si="11"/>
        <v>4.0374909877433307E-2</v>
      </c>
      <c r="S60" s="148"/>
      <c r="T60" s="40"/>
    </row>
    <row r="61" spans="1:20" s="77" customFormat="1" ht="25.4" customHeight="1">
      <c r="A61" s="3" t="s">
        <v>186</v>
      </c>
      <c r="B61" s="3" t="s">
        <v>372</v>
      </c>
      <c r="C61" s="3"/>
      <c r="D61" s="26" t="s">
        <v>187</v>
      </c>
      <c r="E61" s="388"/>
      <c r="F61" s="388"/>
      <c r="G61" s="388"/>
      <c r="H61" s="388"/>
      <c r="I61" s="388"/>
      <c r="J61" s="388"/>
      <c r="K61" s="388"/>
      <c r="L61" s="388"/>
      <c r="M61" s="388"/>
      <c r="N61" s="388"/>
      <c r="O61" s="388"/>
      <c r="P61" s="388"/>
      <c r="Q61" s="61">
        <f t="shared" si="10"/>
        <v>0</v>
      </c>
      <c r="R61" s="61">
        <f t="shared" si="11"/>
        <v>0</v>
      </c>
      <c r="S61" s="148"/>
      <c r="T61" s="40"/>
    </row>
    <row r="62" spans="1:20" s="77" customFormat="1" ht="25.4" customHeight="1">
      <c r="A62" s="3" t="s">
        <v>188</v>
      </c>
      <c r="B62" s="3" t="s">
        <v>372</v>
      </c>
      <c r="C62" s="3"/>
      <c r="D62" s="26" t="s">
        <v>189</v>
      </c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  <c r="Q62" s="61">
        <f t="shared" si="10"/>
        <v>0</v>
      </c>
      <c r="R62" s="61">
        <f t="shared" si="11"/>
        <v>0</v>
      </c>
      <c r="S62" s="148"/>
      <c r="T62" s="40"/>
    </row>
    <row r="63" spans="1:20" s="77" customFormat="1" ht="25.4" customHeight="1">
      <c r="A63" s="3" t="s">
        <v>190</v>
      </c>
      <c r="B63" s="3" t="s">
        <v>372</v>
      </c>
      <c r="C63" s="3"/>
      <c r="D63" s="26" t="s">
        <v>191</v>
      </c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/>
      <c r="Q63" s="61">
        <f t="shared" si="10"/>
        <v>0</v>
      </c>
      <c r="R63" s="61">
        <f t="shared" si="11"/>
        <v>0</v>
      </c>
      <c r="S63" s="148"/>
      <c r="T63" s="40"/>
    </row>
    <row r="64" spans="1:20" s="77" customFormat="1" ht="24.75" customHeight="1">
      <c r="A64" s="3" t="s">
        <v>192</v>
      </c>
      <c r="B64" s="3" t="s">
        <v>372</v>
      </c>
      <c r="C64" s="3"/>
      <c r="D64" s="26" t="s">
        <v>193</v>
      </c>
      <c r="E64" s="388">
        <f t="shared" ref="E64:P64" si="17">ROUND(E117*1.55,2)</f>
        <v>4564.75</v>
      </c>
      <c r="F64" s="388">
        <f t="shared" si="17"/>
        <v>4123</v>
      </c>
      <c r="G64" s="388">
        <f t="shared" si="17"/>
        <v>4564.75</v>
      </c>
      <c r="H64" s="388">
        <f t="shared" si="17"/>
        <v>4417.5</v>
      </c>
      <c r="I64" s="388">
        <f t="shared" si="17"/>
        <v>4564.75</v>
      </c>
      <c r="J64" s="388">
        <f t="shared" si="17"/>
        <v>4417.5</v>
      </c>
      <c r="K64" s="388">
        <f t="shared" si="17"/>
        <v>4564.75</v>
      </c>
      <c r="L64" s="388">
        <f t="shared" si="17"/>
        <v>4564.75</v>
      </c>
      <c r="M64" s="388">
        <f t="shared" si="17"/>
        <v>4417.5</v>
      </c>
      <c r="N64" s="388">
        <f t="shared" si="17"/>
        <v>4564.75</v>
      </c>
      <c r="O64" s="388">
        <f t="shared" si="17"/>
        <v>4417.5</v>
      </c>
      <c r="P64" s="388">
        <f t="shared" si="17"/>
        <v>4564.75</v>
      </c>
      <c r="Q64" s="61">
        <f t="shared" si="10"/>
        <v>53746.25</v>
      </c>
      <c r="R64" s="61">
        <f t="shared" si="11"/>
        <v>1.55</v>
      </c>
      <c r="S64" s="148"/>
      <c r="T64" s="40"/>
    </row>
    <row r="65" spans="1:20" s="77" customFormat="1" ht="25.4" customHeight="1">
      <c r="A65" s="3" t="s">
        <v>194</v>
      </c>
      <c r="B65" s="3" t="s">
        <v>372</v>
      </c>
      <c r="C65" s="3"/>
      <c r="D65" s="26" t="s">
        <v>195</v>
      </c>
      <c r="E65" s="388">
        <v>500</v>
      </c>
      <c r="F65" s="388">
        <v>500</v>
      </c>
      <c r="G65" s="388">
        <v>500</v>
      </c>
      <c r="H65" s="388">
        <v>500</v>
      </c>
      <c r="I65" s="388">
        <v>500</v>
      </c>
      <c r="J65" s="388">
        <v>500</v>
      </c>
      <c r="K65" s="388">
        <v>500</v>
      </c>
      <c r="L65" s="388">
        <v>500</v>
      </c>
      <c r="M65" s="388">
        <v>500</v>
      </c>
      <c r="N65" s="388">
        <v>500</v>
      </c>
      <c r="O65" s="388">
        <v>500</v>
      </c>
      <c r="P65" s="388">
        <v>500</v>
      </c>
      <c r="Q65" s="61">
        <f t="shared" si="10"/>
        <v>6000</v>
      </c>
      <c r="R65" s="61">
        <f t="shared" si="11"/>
        <v>0.17303532804614274</v>
      </c>
      <c r="S65" s="148"/>
      <c r="T65" s="40"/>
    </row>
    <row r="66" spans="1:20" s="77" customFormat="1" ht="25.4" customHeight="1">
      <c r="A66" s="3" t="s">
        <v>196</v>
      </c>
      <c r="B66" s="3" t="s">
        <v>372</v>
      </c>
      <c r="C66" s="3"/>
      <c r="D66" s="26" t="s">
        <v>197</v>
      </c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61">
        <f t="shared" si="10"/>
        <v>0</v>
      </c>
      <c r="R66" s="61">
        <f t="shared" si="11"/>
        <v>0</v>
      </c>
      <c r="S66" s="148"/>
      <c r="T66" s="40"/>
    </row>
    <row r="67" spans="1:20" s="77" customFormat="1" ht="25.4" customHeight="1">
      <c r="A67" s="3" t="s">
        <v>198</v>
      </c>
      <c r="B67" s="3" t="s">
        <v>372</v>
      </c>
      <c r="C67" s="3"/>
      <c r="D67" s="26" t="s">
        <v>199</v>
      </c>
      <c r="E67" s="388">
        <f>12*E165</f>
        <v>276</v>
      </c>
      <c r="F67" s="388">
        <f t="shared" ref="F67:P67" si="18">12*F165</f>
        <v>336</v>
      </c>
      <c r="G67" s="388">
        <f t="shared" si="18"/>
        <v>264</v>
      </c>
      <c r="H67" s="388">
        <f t="shared" si="18"/>
        <v>276</v>
      </c>
      <c r="I67" s="388">
        <f t="shared" si="18"/>
        <v>288</v>
      </c>
      <c r="J67" s="388">
        <f t="shared" si="18"/>
        <v>288</v>
      </c>
      <c r="K67" s="388">
        <f t="shared" si="18"/>
        <v>336</v>
      </c>
      <c r="L67" s="388">
        <f t="shared" si="18"/>
        <v>360</v>
      </c>
      <c r="M67" s="388">
        <f t="shared" si="18"/>
        <v>408</v>
      </c>
      <c r="N67" s="388">
        <f t="shared" si="18"/>
        <v>276</v>
      </c>
      <c r="O67" s="388">
        <f t="shared" si="18"/>
        <v>288</v>
      </c>
      <c r="P67" s="388">
        <f t="shared" si="18"/>
        <v>312</v>
      </c>
      <c r="Q67" s="61">
        <f t="shared" si="10"/>
        <v>3708</v>
      </c>
      <c r="R67" s="61">
        <f t="shared" si="11"/>
        <v>0.10693583273251622</v>
      </c>
      <c r="S67" s="148"/>
      <c r="T67" s="40"/>
    </row>
    <row r="68" spans="1:20" s="77" customFormat="1" ht="25.4" customHeight="1">
      <c r="A68" s="3" t="s">
        <v>200</v>
      </c>
      <c r="B68" s="3" t="s">
        <v>372</v>
      </c>
      <c r="C68" s="3"/>
      <c r="D68" s="26" t="s">
        <v>201</v>
      </c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61">
        <f t="shared" si="10"/>
        <v>0</v>
      </c>
      <c r="R68" s="61">
        <f t="shared" si="11"/>
        <v>0</v>
      </c>
      <c r="S68" s="148"/>
      <c r="T68" s="40"/>
    </row>
    <row r="69" spans="1:20" s="77" customFormat="1" ht="25.4" customHeight="1">
      <c r="A69" s="3" t="s">
        <v>202</v>
      </c>
      <c r="B69" s="3" t="s">
        <v>372</v>
      </c>
      <c r="C69" s="3"/>
      <c r="D69" s="26" t="s">
        <v>203</v>
      </c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61">
        <f t="shared" si="10"/>
        <v>0</v>
      </c>
      <c r="R69" s="61">
        <f t="shared" si="11"/>
        <v>0</v>
      </c>
      <c r="S69" s="148"/>
      <c r="T69" s="40"/>
    </row>
    <row r="70" spans="1:20" s="77" customFormat="1" ht="25.4" customHeight="1">
      <c r="A70" s="3" t="s">
        <v>204</v>
      </c>
      <c r="B70" s="3" t="s">
        <v>372</v>
      </c>
      <c r="C70" s="3"/>
      <c r="D70" s="26" t="s">
        <v>205</v>
      </c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61">
        <f t="shared" si="10"/>
        <v>0</v>
      </c>
      <c r="R70" s="61">
        <f t="shared" si="11"/>
        <v>0</v>
      </c>
      <c r="S70" s="148"/>
      <c r="T70" s="40"/>
    </row>
    <row r="71" spans="1:20" s="77" customFormat="1" ht="25.4" customHeight="1">
      <c r="A71" s="3" t="s">
        <v>206</v>
      </c>
      <c r="B71" s="3" t="s">
        <v>372</v>
      </c>
      <c r="C71" s="3"/>
      <c r="D71" s="26" t="s">
        <v>207</v>
      </c>
      <c r="E71" s="420">
        <v>2000</v>
      </c>
      <c r="F71" s="420">
        <v>2000</v>
      </c>
      <c r="G71" s="420">
        <v>2000</v>
      </c>
      <c r="H71" s="420">
        <v>2000</v>
      </c>
      <c r="I71" s="420">
        <v>2000</v>
      </c>
      <c r="J71" s="420">
        <v>2000</v>
      </c>
      <c r="K71" s="388">
        <f t="shared" ref="K71:P71" si="19">ROUND(K117*1,2)</f>
        <v>2945</v>
      </c>
      <c r="L71" s="388">
        <f t="shared" si="19"/>
        <v>2945</v>
      </c>
      <c r="M71" s="388">
        <f t="shared" si="19"/>
        <v>2850</v>
      </c>
      <c r="N71" s="388">
        <f t="shared" si="19"/>
        <v>2945</v>
      </c>
      <c r="O71" s="388">
        <f t="shared" si="19"/>
        <v>2850</v>
      </c>
      <c r="P71" s="388">
        <f t="shared" si="19"/>
        <v>2945</v>
      </c>
      <c r="Q71" s="61">
        <f t="shared" si="10"/>
        <v>29480</v>
      </c>
      <c r="R71" s="61">
        <f t="shared" si="11"/>
        <v>0.85018024513338142</v>
      </c>
      <c r="S71" s="148"/>
      <c r="T71" s="40"/>
    </row>
    <row r="72" spans="1:20" s="77" customFormat="1" ht="25.4" customHeight="1">
      <c r="A72" s="3" t="s">
        <v>208</v>
      </c>
      <c r="B72" s="3" t="s">
        <v>372</v>
      </c>
      <c r="C72" s="3"/>
      <c r="D72" s="26" t="s">
        <v>209</v>
      </c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61">
        <f t="shared" si="10"/>
        <v>0</v>
      </c>
      <c r="R72" s="61">
        <f t="shared" si="11"/>
        <v>0</v>
      </c>
      <c r="S72" s="148"/>
      <c r="T72" s="40"/>
    </row>
    <row r="73" spans="1:20" s="77" customFormat="1" ht="25.4" customHeight="1">
      <c r="A73" s="3" t="s">
        <v>210</v>
      </c>
      <c r="B73" s="3" t="s">
        <v>372</v>
      </c>
      <c r="C73" s="3"/>
      <c r="D73" s="26" t="s">
        <v>211</v>
      </c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61">
        <f t="shared" si="10"/>
        <v>0</v>
      </c>
      <c r="R73" s="61">
        <f t="shared" si="11"/>
        <v>0</v>
      </c>
      <c r="S73" s="148"/>
      <c r="T73" s="40"/>
    </row>
    <row r="74" spans="1:20" s="77" customFormat="1" ht="25.4" customHeight="1">
      <c r="A74" s="3" t="s">
        <v>212</v>
      </c>
      <c r="B74" s="3" t="s">
        <v>372</v>
      </c>
      <c r="C74" s="3"/>
      <c r="D74" s="26" t="s">
        <v>213</v>
      </c>
      <c r="E74" s="388">
        <f>ROUND(E117*1,2)</f>
        <v>2945</v>
      </c>
      <c r="F74" s="388">
        <f t="shared" ref="F74:P74" si="20">ROUND(F117*1,2)</f>
        <v>2660</v>
      </c>
      <c r="G74" s="388">
        <f t="shared" si="20"/>
        <v>2945</v>
      </c>
      <c r="H74" s="388">
        <f t="shared" si="20"/>
        <v>2850</v>
      </c>
      <c r="I74" s="388">
        <f t="shared" si="20"/>
        <v>2945</v>
      </c>
      <c r="J74" s="388">
        <f t="shared" si="20"/>
        <v>2850</v>
      </c>
      <c r="K74" s="388">
        <f t="shared" si="20"/>
        <v>2945</v>
      </c>
      <c r="L74" s="388">
        <f t="shared" si="20"/>
        <v>2945</v>
      </c>
      <c r="M74" s="388">
        <f t="shared" si="20"/>
        <v>2850</v>
      </c>
      <c r="N74" s="388">
        <f t="shared" si="20"/>
        <v>2945</v>
      </c>
      <c r="O74" s="388">
        <f t="shared" si="20"/>
        <v>2850</v>
      </c>
      <c r="P74" s="388">
        <f t="shared" si="20"/>
        <v>2945</v>
      </c>
      <c r="Q74" s="61">
        <f t="shared" si="10"/>
        <v>34675</v>
      </c>
      <c r="R74" s="61">
        <f t="shared" si="11"/>
        <v>1</v>
      </c>
      <c r="S74" s="148"/>
      <c r="T74" s="40"/>
    </row>
    <row r="75" spans="1:20" s="77" customFormat="1" ht="25.4" customHeight="1">
      <c r="A75" s="3" t="s">
        <v>214</v>
      </c>
      <c r="B75" s="3" t="s">
        <v>372</v>
      </c>
      <c r="C75" s="3"/>
      <c r="D75" s="26" t="s">
        <v>215</v>
      </c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61">
        <f t="shared" si="10"/>
        <v>0</v>
      </c>
      <c r="R75" s="61">
        <f t="shared" si="11"/>
        <v>0</v>
      </c>
      <c r="S75" s="148"/>
      <c r="T75" s="40">
        <f t="shared" si="7"/>
        <v>0</v>
      </c>
    </row>
    <row r="76" spans="1:20" s="77" customFormat="1" ht="25.4" customHeight="1">
      <c r="A76" s="3" t="s">
        <v>216</v>
      </c>
      <c r="B76" s="3" t="s">
        <v>372</v>
      </c>
      <c r="C76" s="3"/>
      <c r="D76" s="26" t="s">
        <v>217</v>
      </c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61">
        <f t="shared" si="10"/>
        <v>0</v>
      </c>
      <c r="R76" s="61">
        <f t="shared" si="11"/>
        <v>0</v>
      </c>
      <c r="S76" s="148"/>
      <c r="T76" s="40">
        <f t="shared" si="7"/>
        <v>0</v>
      </c>
    </row>
    <row r="77" spans="1:20" s="77" customFormat="1" ht="25.4" customHeight="1">
      <c r="A77" s="3" t="s">
        <v>218</v>
      </c>
      <c r="B77" s="3" t="s">
        <v>372</v>
      </c>
      <c r="C77" s="3"/>
      <c r="D77" s="26" t="s">
        <v>219</v>
      </c>
      <c r="E77" s="388">
        <f t="shared" ref="E77:P77" si="21">ROUND(E117*1.5,2)</f>
        <v>4417.5</v>
      </c>
      <c r="F77" s="388">
        <f t="shared" si="21"/>
        <v>3990</v>
      </c>
      <c r="G77" s="388">
        <f t="shared" si="21"/>
        <v>4417.5</v>
      </c>
      <c r="H77" s="388">
        <f t="shared" si="21"/>
        <v>4275</v>
      </c>
      <c r="I77" s="388">
        <f t="shared" si="21"/>
        <v>4417.5</v>
      </c>
      <c r="J77" s="388">
        <f t="shared" si="21"/>
        <v>4275</v>
      </c>
      <c r="K77" s="388">
        <f t="shared" si="21"/>
        <v>4417.5</v>
      </c>
      <c r="L77" s="388">
        <f t="shared" si="21"/>
        <v>4417.5</v>
      </c>
      <c r="M77" s="388">
        <f t="shared" si="21"/>
        <v>4275</v>
      </c>
      <c r="N77" s="388">
        <f t="shared" si="21"/>
        <v>4417.5</v>
      </c>
      <c r="O77" s="388">
        <f t="shared" si="21"/>
        <v>4275</v>
      </c>
      <c r="P77" s="388">
        <f t="shared" si="21"/>
        <v>4417.5</v>
      </c>
      <c r="Q77" s="61">
        <f t="shared" si="10"/>
        <v>52012.5</v>
      </c>
      <c r="R77" s="61">
        <f t="shared" si="11"/>
        <v>1.5</v>
      </c>
      <c r="S77" s="148"/>
      <c r="T77" s="40" t="e">
        <f t="shared" si="7"/>
        <v>#DIV/0!</v>
      </c>
    </row>
    <row r="78" spans="1:20" s="77" customFormat="1" ht="25.4" customHeight="1">
      <c r="A78" s="3" t="s">
        <v>220</v>
      </c>
      <c r="B78" s="3" t="s">
        <v>372</v>
      </c>
      <c r="C78" s="3"/>
      <c r="D78" s="26" t="s">
        <v>221</v>
      </c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8"/>
      <c r="P78" s="388"/>
      <c r="Q78" s="61">
        <f t="shared" si="10"/>
        <v>0</v>
      </c>
      <c r="R78" s="61">
        <f t="shared" si="11"/>
        <v>0</v>
      </c>
      <c r="S78" s="148"/>
      <c r="T78" s="40">
        <f t="shared" si="7"/>
        <v>0</v>
      </c>
    </row>
    <row r="79" spans="1:20" s="77" customFormat="1" ht="25.4" customHeight="1">
      <c r="A79" s="3" t="s">
        <v>222</v>
      </c>
      <c r="B79" s="3" t="s">
        <v>372</v>
      </c>
      <c r="C79" s="3"/>
      <c r="D79" s="26" t="s">
        <v>223</v>
      </c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61">
        <f t="shared" si="10"/>
        <v>0</v>
      </c>
      <c r="R79" s="61">
        <f t="shared" si="11"/>
        <v>0</v>
      </c>
      <c r="S79" s="148"/>
      <c r="T79" s="40">
        <f t="shared" si="7"/>
        <v>0</v>
      </c>
    </row>
    <row r="80" spans="1:20" s="77" customFormat="1" ht="25.4" customHeight="1">
      <c r="A80" s="3" t="s">
        <v>224</v>
      </c>
      <c r="B80" s="3" t="s">
        <v>372</v>
      </c>
      <c r="C80" s="3"/>
      <c r="D80" s="26" t="s">
        <v>225</v>
      </c>
      <c r="E80" s="388"/>
      <c r="F80" s="388"/>
      <c r="G80" s="388"/>
      <c r="H80" s="388"/>
      <c r="I80" s="388"/>
      <c r="J80" s="388"/>
      <c r="K80" s="388"/>
      <c r="L80" s="388"/>
      <c r="M80" s="388"/>
      <c r="N80" s="388"/>
      <c r="O80" s="388"/>
      <c r="P80" s="388"/>
      <c r="Q80" s="61">
        <f t="shared" si="10"/>
        <v>0</v>
      </c>
      <c r="R80" s="61">
        <f t="shared" si="11"/>
        <v>0</v>
      </c>
      <c r="S80" s="148"/>
      <c r="T80" s="40">
        <f t="shared" si="7"/>
        <v>0</v>
      </c>
    </row>
    <row r="81" spans="1:20" s="77" customFormat="1" ht="25.4" customHeight="1">
      <c r="A81" s="3" t="s">
        <v>226</v>
      </c>
      <c r="B81" s="3" t="s">
        <v>372</v>
      </c>
      <c r="C81" s="3"/>
      <c r="D81" s="26" t="s">
        <v>227</v>
      </c>
      <c r="E81" s="388">
        <f t="shared" ref="E81:P81" si="22">ROUND(E117*1,2)</f>
        <v>2945</v>
      </c>
      <c r="F81" s="388">
        <f t="shared" si="22"/>
        <v>2660</v>
      </c>
      <c r="G81" s="388">
        <f t="shared" si="22"/>
        <v>2945</v>
      </c>
      <c r="H81" s="388">
        <f t="shared" si="22"/>
        <v>2850</v>
      </c>
      <c r="I81" s="388">
        <f t="shared" si="22"/>
        <v>2945</v>
      </c>
      <c r="J81" s="388">
        <f t="shared" si="22"/>
        <v>2850</v>
      </c>
      <c r="K81" s="388">
        <f t="shared" si="22"/>
        <v>2945</v>
      </c>
      <c r="L81" s="388">
        <f t="shared" si="22"/>
        <v>2945</v>
      </c>
      <c r="M81" s="388">
        <f t="shared" si="22"/>
        <v>2850</v>
      </c>
      <c r="N81" s="388">
        <f t="shared" si="22"/>
        <v>2945</v>
      </c>
      <c r="O81" s="388">
        <f t="shared" si="22"/>
        <v>2850</v>
      </c>
      <c r="P81" s="388">
        <f t="shared" si="22"/>
        <v>2945</v>
      </c>
      <c r="Q81" s="61">
        <f t="shared" si="10"/>
        <v>34675</v>
      </c>
      <c r="R81" s="61">
        <f t="shared" si="11"/>
        <v>1</v>
      </c>
      <c r="S81" s="148"/>
      <c r="T81" s="40" t="e">
        <f t="shared" si="7"/>
        <v>#DIV/0!</v>
      </c>
    </row>
    <row r="82" spans="1:20" s="77" customFormat="1" ht="24.75" hidden="1" customHeight="1">
      <c r="A82" s="3" t="s">
        <v>228</v>
      </c>
      <c r="B82" s="3" t="s">
        <v>372</v>
      </c>
      <c r="C82" s="3"/>
      <c r="D82" s="26" t="s">
        <v>229</v>
      </c>
      <c r="E82" s="388"/>
      <c r="F82" s="388"/>
      <c r="G82" s="388"/>
      <c r="H82" s="388"/>
      <c r="I82" s="388"/>
      <c r="J82" s="388"/>
      <c r="K82" s="388"/>
      <c r="L82" s="388"/>
      <c r="M82" s="388"/>
      <c r="N82" s="388"/>
      <c r="O82" s="388"/>
      <c r="P82" s="388"/>
      <c r="Q82" s="61">
        <f t="shared" si="10"/>
        <v>0</v>
      </c>
      <c r="R82" s="61">
        <f t="shared" si="11"/>
        <v>0</v>
      </c>
      <c r="S82" s="148"/>
      <c r="T82" s="40">
        <f t="shared" si="7"/>
        <v>0</v>
      </c>
    </row>
    <row r="83" spans="1:20" s="77" customFormat="1" ht="25.4" hidden="1" customHeight="1">
      <c r="A83" s="3" t="s">
        <v>230</v>
      </c>
      <c r="B83" s="3" t="s">
        <v>372</v>
      </c>
      <c r="C83" s="3"/>
      <c r="D83" s="26" t="s">
        <v>231</v>
      </c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388"/>
      <c r="P83" s="388"/>
      <c r="Q83" s="61">
        <f t="shared" si="10"/>
        <v>0</v>
      </c>
      <c r="R83" s="61">
        <f t="shared" si="11"/>
        <v>0</v>
      </c>
      <c r="S83" s="148"/>
      <c r="T83" s="40">
        <f t="shared" si="7"/>
        <v>0</v>
      </c>
    </row>
    <row r="84" spans="1:20" s="77" customFormat="1" ht="25.4" hidden="1" customHeight="1">
      <c r="A84" s="3" t="s">
        <v>232</v>
      </c>
      <c r="B84" s="3" t="s">
        <v>372</v>
      </c>
      <c r="C84" s="3"/>
      <c r="D84" s="26" t="s">
        <v>233</v>
      </c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61">
        <f t="shared" si="10"/>
        <v>0</v>
      </c>
      <c r="R84" s="61">
        <f t="shared" si="11"/>
        <v>0</v>
      </c>
      <c r="S84" s="148"/>
      <c r="T84" s="40">
        <f t="shared" si="7"/>
        <v>0</v>
      </c>
    </row>
    <row r="85" spans="1:20" s="77" customFormat="1" ht="25.4" hidden="1" customHeight="1">
      <c r="A85" s="3" t="s">
        <v>234</v>
      </c>
      <c r="B85" s="3" t="s">
        <v>372</v>
      </c>
      <c r="C85" s="3"/>
      <c r="D85" s="26" t="s">
        <v>235</v>
      </c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61">
        <f t="shared" si="10"/>
        <v>0</v>
      </c>
      <c r="R85" s="61">
        <f t="shared" si="11"/>
        <v>0</v>
      </c>
      <c r="S85" s="148"/>
      <c r="T85" s="40">
        <f t="shared" si="7"/>
        <v>0</v>
      </c>
    </row>
    <row r="86" spans="1:20" s="77" customFormat="1" ht="25.4" hidden="1" customHeight="1">
      <c r="A86" s="3" t="s">
        <v>422</v>
      </c>
      <c r="B86" s="3" t="s">
        <v>372</v>
      </c>
      <c r="C86" s="3"/>
      <c r="D86" s="26" t="s">
        <v>423</v>
      </c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61">
        <f t="shared" si="10"/>
        <v>0</v>
      </c>
      <c r="R86" s="61">
        <f t="shared" si="11"/>
        <v>0</v>
      </c>
      <c r="S86" s="148"/>
      <c r="T86" s="40">
        <f t="shared" si="7"/>
        <v>0</v>
      </c>
    </row>
    <row r="87" spans="1:20" s="77" customFormat="1" ht="25.4" hidden="1" customHeight="1">
      <c r="A87" s="3" t="s">
        <v>236</v>
      </c>
      <c r="B87" s="3" t="s">
        <v>372</v>
      </c>
      <c r="C87" s="3"/>
      <c r="D87" s="26" t="s">
        <v>237</v>
      </c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61">
        <f t="shared" si="10"/>
        <v>0</v>
      </c>
      <c r="R87" s="61">
        <f t="shared" si="11"/>
        <v>0</v>
      </c>
      <c r="S87" s="148"/>
      <c r="T87" s="40">
        <f t="shared" si="7"/>
        <v>0</v>
      </c>
    </row>
    <row r="88" spans="1:20" s="77" customFormat="1" ht="25.4" hidden="1" customHeight="1">
      <c r="A88" s="3" t="s">
        <v>238</v>
      </c>
      <c r="B88" s="3" t="s">
        <v>372</v>
      </c>
      <c r="C88" s="3"/>
      <c r="D88" s="26" t="s">
        <v>239</v>
      </c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61">
        <f t="shared" si="10"/>
        <v>0</v>
      </c>
      <c r="R88" s="61">
        <f t="shared" si="11"/>
        <v>0</v>
      </c>
      <c r="S88" s="148"/>
      <c r="T88" s="40">
        <f t="shared" si="7"/>
        <v>0</v>
      </c>
    </row>
    <row r="89" spans="1:20" s="77" customFormat="1" ht="25.4" hidden="1" customHeight="1">
      <c r="A89" s="3" t="s">
        <v>240</v>
      </c>
      <c r="B89" s="3" t="s">
        <v>372</v>
      </c>
      <c r="C89" s="3"/>
      <c r="D89" s="26" t="s">
        <v>241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61">
        <f t="shared" si="10"/>
        <v>0</v>
      </c>
      <c r="R89" s="61">
        <f t="shared" si="11"/>
        <v>0</v>
      </c>
      <c r="S89" s="148"/>
      <c r="T89" s="40">
        <f t="shared" si="7"/>
        <v>0</v>
      </c>
    </row>
    <row r="90" spans="1:20" s="77" customFormat="1" ht="25.4" hidden="1" customHeight="1">
      <c r="A90" s="3" t="s">
        <v>242</v>
      </c>
      <c r="B90" s="3" t="s">
        <v>372</v>
      </c>
      <c r="C90" s="3"/>
      <c r="D90" s="26" t="s">
        <v>243</v>
      </c>
      <c r="E90" s="388"/>
      <c r="F90" s="388"/>
      <c r="G90" s="388"/>
      <c r="H90" s="388"/>
      <c r="I90" s="388"/>
      <c r="J90" s="388"/>
      <c r="K90" s="388"/>
      <c r="L90" s="388"/>
      <c r="M90" s="388"/>
      <c r="N90" s="388"/>
      <c r="O90" s="388"/>
      <c r="P90" s="388"/>
      <c r="Q90" s="61">
        <f t="shared" si="10"/>
        <v>0</v>
      </c>
      <c r="R90" s="61">
        <f t="shared" si="11"/>
        <v>0</v>
      </c>
      <c r="S90" s="148"/>
      <c r="T90" s="40">
        <f t="shared" si="7"/>
        <v>0</v>
      </c>
    </row>
    <row r="91" spans="1:20" s="77" customFormat="1" ht="25.4" hidden="1" customHeight="1">
      <c r="A91" s="3" t="s">
        <v>244</v>
      </c>
      <c r="B91" s="3" t="s">
        <v>372</v>
      </c>
      <c r="C91" s="3"/>
      <c r="D91" s="26" t="s">
        <v>245</v>
      </c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61">
        <f t="shared" si="10"/>
        <v>0</v>
      </c>
      <c r="R91" s="61">
        <f t="shared" si="11"/>
        <v>0</v>
      </c>
      <c r="S91" s="148"/>
      <c r="T91" s="40">
        <f t="shared" si="7"/>
        <v>0</v>
      </c>
    </row>
    <row r="92" spans="1:20" s="77" customFormat="1" ht="25.4" customHeight="1">
      <c r="A92" s="3" t="s">
        <v>246</v>
      </c>
      <c r="B92" s="3" t="s">
        <v>372</v>
      </c>
      <c r="C92" s="3"/>
      <c r="D92" s="26" t="s">
        <v>247</v>
      </c>
      <c r="E92" s="388"/>
      <c r="F92" s="388"/>
      <c r="G92" s="388"/>
      <c r="H92" s="388"/>
      <c r="I92" s="388"/>
      <c r="J92" s="388"/>
      <c r="K92" s="388"/>
      <c r="L92" s="388"/>
      <c r="M92" s="388"/>
      <c r="N92" s="388"/>
      <c r="O92" s="388"/>
      <c r="P92" s="388"/>
      <c r="Q92" s="61">
        <f t="shared" si="10"/>
        <v>0</v>
      </c>
      <c r="R92" s="61">
        <f t="shared" si="11"/>
        <v>0</v>
      </c>
      <c r="S92" s="148"/>
      <c r="T92" s="40">
        <f t="shared" si="7"/>
        <v>0</v>
      </c>
    </row>
    <row r="93" spans="1:20" s="77" customFormat="1" ht="25.4" customHeight="1">
      <c r="A93" s="3" t="s">
        <v>248</v>
      </c>
      <c r="B93" s="3" t="s">
        <v>372</v>
      </c>
      <c r="C93" s="3"/>
      <c r="D93" s="26" t="s">
        <v>249</v>
      </c>
      <c r="E93" s="388">
        <v>50</v>
      </c>
      <c r="F93" s="388">
        <v>50</v>
      </c>
      <c r="G93" s="388">
        <v>50</v>
      </c>
      <c r="H93" s="388">
        <v>50</v>
      </c>
      <c r="I93" s="388">
        <v>50</v>
      </c>
      <c r="J93" s="388">
        <v>50</v>
      </c>
      <c r="K93" s="388">
        <v>50</v>
      </c>
      <c r="L93" s="388">
        <v>50</v>
      </c>
      <c r="M93" s="388">
        <v>50</v>
      </c>
      <c r="N93" s="388">
        <v>50</v>
      </c>
      <c r="O93" s="388">
        <v>50</v>
      </c>
      <c r="P93" s="388">
        <v>50</v>
      </c>
      <c r="Q93" s="61">
        <f t="shared" si="10"/>
        <v>600</v>
      </c>
      <c r="R93" s="61">
        <f t="shared" si="11"/>
        <v>1.7303532804614274E-2</v>
      </c>
      <c r="S93" s="148"/>
      <c r="T93" s="40" t="e">
        <f t="shared" si="7"/>
        <v>#DIV/0!</v>
      </c>
    </row>
    <row r="94" spans="1:20" s="77" customFormat="1" ht="25.4" customHeight="1">
      <c r="A94" s="3" t="s">
        <v>250</v>
      </c>
      <c r="B94" s="3" t="s">
        <v>372</v>
      </c>
      <c r="C94" s="3"/>
      <c r="D94" s="26" t="s">
        <v>251</v>
      </c>
      <c r="E94" s="388">
        <v>100</v>
      </c>
      <c r="F94" s="388">
        <v>100</v>
      </c>
      <c r="G94" s="388">
        <v>100</v>
      </c>
      <c r="H94" s="388">
        <v>100</v>
      </c>
      <c r="I94" s="388">
        <v>100</v>
      </c>
      <c r="J94" s="388">
        <v>100</v>
      </c>
      <c r="K94" s="388">
        <v>100</v>
      </c>
      <c r="L94" s="388">
        <v>100</v>
      </c>
      <c r="M94" s="388">
        <v>100</v>
      </c>
      <c r="N94" s="388">
        <v>100</v>
      </c>
      <c r="O94" s="388">
        <v>100</v>
      </c>
      <c r="P94" s="388">
        <v>100</v>
      </c>
      <c r="Q94" s="61">
        <f t="shared" si="10"/>
        <v>1200</v>
      </c>
      <c r="R94" s="61">
        <f t="shared" si="11"/>
        <v>3.4607065609228549E-2</v>
      </c>
      <c r="S94" s="148"/>
      <c r="T94" s="40" t="e">
        <f t="shared" si="7"/>
        <v>#DIV/0!</v>
      </c>
    </row>
    <row r="95" spans="1:20" s="3" customFormat="1" ht="25.4" customHeight="1">
      <c r="A95" s="3" t="s">
        <v>252</v>
      </c>
      <c r="B95" s="50" t="s">
        <v>372</v>
      </c>
      <c r="D95" s="26" t="s">
        <v>253</v>
      </c>
      <c r="E95" s="63">
        <v>6835.2900000000009</v>
      </c>
      <c r="F95" s="63">
        <v>7305.7299999999987</v>
      </c>
      <c r="G95" s="63">
        <v>5443.57</v>
      </c>
      <c r="H95" s="63">
        <v>6028.35</v>
      </c>
      <c r="I95" s="63">
        <v>5944.2999999999993</v>
      </c>
      <c r="J95" s="63">
        <v>5603.5300000000007</v>
      </c>
      <c r="K95" s="63">
        <v>6382.8599999999988</v>
      </c>
      <c r="L95" s="63">
        <v>6806.7700000000013</v>
      </c>
      <c r="M95" s="63">
        <v>7979.7899999999991</v>
      </c>
      <c r="N95" s="63">
        <v>5880.33</v>
      </c>
      <c r="O95" s="63">
        <v>5419.37</v>
      </c>
      <c r="P95" s="63">
        <v>5722.5000000000009</v>
      </c>
      <c r="Q95" s="61">
        <f t="shared" si="10"/>
        <v>75352.390000000014</v>
      </c>
      <c r="R95" s="61">
        <f t="shared" si="11"/>
        <v>2.1731042537851484</v>
      </c>
      <c r="S95" s="3">
        <v>5722.5000000000009</v>
      </c>
      <c r="T95" s="3">
        <f t="shared" si="7"/>
        <v>-12.167739624290084</v>
      </c>
    </row>
    <row r="96" spans="1:20" s="77" customFormat="1" ht="25.4" customHeight="1">
      <c r="A96" s="3" t="s">
        <v>254</v>
      </c>
      <c r="B96" s="3" t="s">
        <v>372</v>
      </c>
      <c r="C96" s="3"/>
      <c r="D96" s="26" t="s">
        <v>255</v>
      </c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61">
        <f t="shared" si="10"/>
        <v>0</v>
      </c>
      <c r="R96" s="61">
        <f t="shared" si="11"/>
        <v>0</v>
      </c>
      <c r="S96" s="148"/>
      <c r="T96" s="40">
        <f t="shared" ref="T96:T108" si="23">-IF(Q96-S96=0,0,(Q96-S96)/S96)</f>
        <v>0</v>
      </c>
    </row>
    <row r="97" spans="1:20" s="77" customFormat="1" ht="25.4" customHeight="1">
      <c r="A97" s="3" t="s">
        <v>256</v>
      </c>
      <c r="B97" s="3" t="s">
        <v>372</v>
      </c>
      <c r="C97" s="3"/>
      <c r="D97" s="26" t="s">
        <v>257</v>
      </c>
      <c r="E97" s="388">
        <v>100</v>
      </c>
      <c r="F97" s="388">
        <v>100</v>
      </c>
      <c r="G97" s="388">
        <v>100</v>
      </c>
      <c r="H97" s="388">
        <v>100</v>
      </c>
      <c r="I97" s="388">
        <v>100</v>
      </c>
      <c r="J97" s="388">
        <v>100</v>
      </c>
      <c r="K97" s="388">
        <v>100</v>
      </c>
      <c r="L97" s="388">
        <v>100</v>
      </c>
      <c r="M97" s="388">
        <v>100</v>
      </c>
      <c r="N97" s="388">
        <v>100</v>
      </c>
      <c r="O97" s="388">
        <v>100</v>
      </c>
      <c r="P97" s="388">
        <v>100</v>
      </c>
      <c r="Q97" s="61">
        <f t="shared" si="10"/>
        <v>1200</v>
      </c>
      <c r="R97" s="61">
        <f t="shared" si="11"/>
        <v>3.4607065609228549E-2</v>
      </c>
      <c r="S97" s="148"/>
      <c r="T97" s="40"/>
    </row>
    <row r="98" spans="1:20" s="77" customFormat="1" ht="25.4" customHeight="1">
      <c r="A98" s="3" t="s">
        <v>258</v>
      </c>
      <c r="B98" s="3" t="s">
        <v>372</v>
      </c>
      <c r="C98" s="3"/>
      <c r="D98" s="26" t="s">
        <v>259</v>
      </c>
      <c r="E98" s="388"/>
      <c r="F98" s="388"/>
      <c r="G98" s="388"/>
      <c r="H98" s="388"/>
      <c r="I98" s="388"/>
      <c r="J98" s="388"/>
      <c r="K98" s="388"/>
      <c r="L98" s="388"/>
      <c r="M98" s="388"/>
      <c r="N98" s="388"/>
      <c r="O98" s="388"/>
      <c r="P98" s="388"/>
      <c r="Q98" s="61">
        <f t="shared" si="10"/>
        <v>0</v>
      </c>
      <c r="R98" s="61">
        <f t="shared" si="11"/>
        <v>0</v>
      </c>
      <c r="S98" s="148"/>
      <c r="T98" s="40"/>
    </row>
    <row r="99" spans="1:20" s="77" customFormat="1" ht="25.4" customHeight="1">
      <c r="A99" s="3" t="s">
        <v>260</v>
      </c>
      <c r="B99" s="3" t="s">
        <v>372</v>
      </c>
      <c r="C99" s="3"/>
      <c r="D99" s="26" t="s">
        <v>261</v>
      </c>
      <c r="E99" s="388"/>
      <c r="F99" s="388"/>
      <c r="G99" s="388"/>
      <c r="H99" s="388"/>
      <c r="I99" s="388"/>
      <c r="J99" s="388"/>
      <c r="K99" s="388"/>
      <c r="L99" s="388"/>
      <c r="M99" s="388"/>
      <c r="N99" s="388"/>
      <c r="O99" s="388"/>
      <c r="P99" s="388"/>
      <c r="Q99" s="61">
        <f t="shared" si="10"/>
        <v>0</v>
      </c>
      <c r="R99" s="61">
        <f t="shared" si="11"/>
        <v>0</v>
      </c>
      <c r="S99" s="148"/>
      <c r="T99" s="40"/>
    </row>
    <row r="100" spans="1:20" s="77" customFormat="1" ht="25.4" customHeight="1">
      <c r="A100" s="3" t="s">
        <v>262</v>
      </c>
      <c r="B100" s="3" t="s">
        <v>372</v>
      </c>
      <c r="C100" s="3"/>
      <c r="D100" s="26" t="s">
        <v>263</v>
      </c>
      <c r="E100" s="388"/>
      <c r="F100" s="388"/>
      <c r="G100" s="388"/>
      <c r="H100" s="388"/>
      <c r="I100" s="388"/>
      <c r="J100" s="388"/>
      <c r="K100" s="388"/>
      <c r="L100" s="388"/>
      <c r="M100" s="388"/>
      <c r="N100" s="388"/>
      <c r="O100" s="388"/>
      <c r="P100" s="388"/>
      <c r="Q100" s="61">
        <f t="shared" si="10"/>
        <v>0</v>
      </c>
      <c r="R100" s="61">
        <f t="shared" si="11"/>
        <v>0</v>
      </c>
      <c r="S100" s="148"/>
      <c r="T100" s="40"/>
    </row>
    <row r="101" spans="1:20" s="77" customFormat="1" ht="25.4" customHeight="1">
      <c r="A101" s="3" t="s">
        <v>264</v>
      </c>
      <c r="B101" s="3" t="s">
        <v>372</v>
      </c>
      <c r="C101" s="3"/>
      <c r="D101" s="26" t="s">
        <v>265</v>
      </c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61">
        <f t="shared" si="10"/>
        <v>0</v>
      </c>
      <c r="R101" s="61">
        <f t="shared" si="11"/>
        <v>0</v>
      </c>
      <c r="S101" s="148"/>
      <c r="T101" s="40"/>
    </row>
    <row r="102" spans="1:20" s="77" customFormat="1" ht="25.4" customHeight="1">
      <c r="A102" s="3" t="s">
        <v>266</v>
      </c>
      <c r="B102" s="3" t="s">
        <v>372</v>
      </c>
      <c r="C102" s="3"/>
      <c r="D102" s="26" t="s">
        <v>267</v>
      </c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388"/>
      <c r="P102" s="388"/>
      <c r="Q102" s="61">
        <f t="shared" si="10"/>
        <v>0</v>
      </c>
      <c r="R102" s="61">
        <f t="shared" si="11"/>
        <v>0</v>
      </c>
      <c r="S102" s="148"/>
      <c r="T102" s="40"/>
    </row>
    <row r="103" spans="1:20" s="77" customFormat="1" ht="25.4" customHeight="1">
      <c r="A103" s="3" t="s">
        <v>268</v>
      </c>
      <c r="B103" s="3" t="s">
        <v>372</v>
      </c>
      <c r="C103" s="3"/>
      <c r="D103" s="26" t="s">
        <v>269</v>
      </c>
      <c r="E103" s="388">
        <v>85</v>
      </c>
      <c r="F103" s="388">
        <v>85</v>
      </c>
      <c r="G103" s="388">
        <v>85</v>
      </c>
      <c r="H103" s="388">
        <v>85</v>
      </c>
      <c r="I103" s="388">
        <v>85</v>
      </c>
      <c r="J103" s="388">
        <v>85</v>
      </c>
      <c r="K103" s="388">
        <v>85</v>
      </c>
      <c r="L103" s="388">
        <v>85</v>
      </c>
      <c r="M103" s="388">
        <v>85</v>
      </c>
      <c r="N103" s="388">
        <v>85</v>
      </c>
      <c r="O103" s="388">
        <v>85</v>
      </c>
      <c r="P103" s="388">
        <v>85</v>
      </c>
      <c r="Q103" s="61">
        <f t="shared" si="10"/>
        <v>1020</v>
      </c>
      <c r="R103" s="61">
        <f t="shared" si="11"/>
        <v>2.9416005767844269E-2</v>
      </c>
      <c r="S103" s="148"/>
      <c r="T103" s="40"/>
    </row>
    <row r="104" spans="1:20" s="77" customFormat="1" ht="25.4" customHeight="1">
      <c r="A104" s="3" t="s">
        <v>270</v>
      </c>
      <c r="B104" s="3" t="s">
        <v>372</v>
      </c>
      <c r="C104" s="3"/>
      <c r="D104" s="26" t="s">
        <v>271</v>
      </c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61">
        <f>SUM(E104:P104)</f>
        <v>0</v>
      </c>
      <c r="R104" s="61">
        <f>Q104/$Q$117</f>
        <v>0</v>
      </c>
      <c r="S104" s="148"/>
      <c r="T104" s="40"/>
    </row>
    <row r="105" spans="1:20" s="77" customFormat="1" ht="25.4" customHeight="1">
      <c r="A105" s="3" t="s">
        <v>272</v>
      </c>
      <c r="B105" s="3" t="s">
        <v>372</v>
      </c>
      <c r="C105" s="3"/>
      <c r="D105" s="26" t="s">
        <v>273</v>
      </c>
      <c r="E105" s="388"/>
      <c r="F105" s="388"/>
      <c r="G105" s="388"/>
      <c r="H105" s="388"/>
      <c r="I105" s="388"/>
      <c r="J105" s="388"/>
      <c r="K105" s="388"/>
      <c r="L105" s="388"/>
      <c r="M105" s="388"/>
      <c r="N105" s="388"/>
      <c r="O105" s="388"/>
      <c r="P105" s="388"/>
      <c r="Q105" s="61">
        <f>SUM(E105:P105)</f>
        <v>0</v>
      </c>
      <c r="R105" s="61">
        <f>Q105/$Q$117</f>
        <v>0</v>
      </c>
      <c r="S105" s="148"/>
      <c r="T105" s="40"/>
    </row>
    <row r="106" spans="1:20" s="77" customFormat="1" ht="25.4" customHeight="1">
      <c r="A106" s="3" t="s">
        <v>274</v>
      </c>
      <c r="B106" s="3" t="s">
        <v>372</v>
      </c>
      <c r="C106" s="3"/>
      <c r="D106" s="26" t="s">
        <v>275</v>
      </c>
      <c r="E106" s="388">
        <f>ROUND(E117*2,2)</f>
        <v>5890</v>
      </c>
      <c r="F106" s="388">
        <f t="shared" ref="F106:P106" si="24">ROUND(F117*2,2)</f>
        <v>5320</v>
      </c>
      <c r="G106" s="388">
        <f t="shared" si="24"/>
        <v>5890</v>
      </c>
      <c r="H106" s="388">
        <f t="shared" si="24"/>
        <v>5700</v>
      </c>
      <c r="I106" s="388">
        <f t="shared" si="24"/>
        <v>5890</v>
      </c>
      <c r="J106" s="388">
        <f t="shared" si="24"/>
        <v>5700</v>
      </c>
      <c r="K106" s="388">
        <f t="shared" si="24"/>
        <v>5890</v>
      </c>
      <c r="L106" s="388">
        <f t="shared" si="24"/>
        <v>5890</v>
      </c>
      <c r="M106" s="388">
        <f t="shared" si="24"/>
        <v>5700</v>
      </c>
      <c r="N106" s="388">
        <f t="shared" si="24"/>
        <v>5890</v>
      </c>
      <c r="O106" s="388">
        <f t="shared" si="24"/>
        <v>5700</v>
      </c>
      <c r="P106" s="388">
        <f t="shared" si="24"/>
        <v>5890</v>
      </c>
      <c r="Q106" s="61">
        <f>SUM(E106:P106)</f>
        <v>69350</v>
      </c>
      <c r="R106" s="61">
        <f>Q106/$Q$117</f>
        <v>2</v>
      </c>
      <c r="S106" s="148"/>
      <c r="T106" s="40"/>
    </row>
    <row r="107" spans="1:20" s="77" customFormat="1" ht="25.4" customHeight="1">
      <c r="A107" s="3"/>
      <c r="B107" s="3"/>
      <c r="C107" s="3"/>
      <c r="D107" s="26" t="s">
        <v>456</v>
      </c>
      <c r="E107" s="388">
        <f>+STW!E146</f>
        <v>67378.960000000006</v>
      </c>
      <c r="F107" s="388">
        <f>+STW!F146</f>
        <v>78327.33</v>
      </c>
      <c r="G107" s="388">
        <f>+STW!G146</f>
        <v>65312.49</v>
      </c>
      <c r="H107" s="388">
        <f>+STW!H146</f>
        <v>71647.06</v>
      </c>
      <c r="I107" s="388">
        <f>+STW!I146</f>
        <v>61959.86</v>
      </c>
      <c r="J107" s="388">
        <f>+STW!J146</f>
        <v>61818.33</v>
      </c>
      <c r="K107" s="388">
        <f>+STW!K146</f>
        <v>59915.91</v>
      </c>
      <c r="L107" s="388">
        <f>+STW!L146</f>
        <v>65095.63</v>
      </c>
      <c r="M107" s="388">
        <f>+STW!M146</f>
        <v>83257.320000000007</v>
      </c>
      <c r="N107" s="388">
        <f>+STW!N146</f>
        <v>44933.63</v>
      </c>
      <c r="O107" s="388">
        <f>+STW!O146</f>
        <v>46632.03</v>
      </c>
      <c r="P107" s="388">
        <f>+STW!P146</f>
        <v>50530.3</v>
      </c>
      <c r="Q107" s="61">
        <f>SUM(E107:P107)</f>
        <v>756808.85</v>
      </c>
      <c r="R107" s="61">
        <f>Q107/$Q$117</f>
        <v>21.825777937995674</v>
      </c>
      <c r="S107" s="148"/>
      <c r="T107" s="40" t="e">
        <f t="shared" si="23"/>
        <v>#DIV/0!</v>
      </c>
    </row>
    <row r="108" spans="1:20" s="170" customFormat="1" ht="25.4" customHeight="1">
      <c r="A108" s="19"/>
      <c r="B108" s="19"/>
      <c r="C108" s="19"/>
      <c r="D108" s="19" t="s">
        <v>1085</v>
      </c>
      <c r="E108" s="151">
        <f>SUM(E39:E107)</f>
        <v>112751</v>
      </c>
      <c r="F108" s="151">
        <f t="shared" ref="F108:P108" si="25">SUM(F39:F107)</f>
        <v>120995.06</v>
      </c>
      <c r="G108" s="151">
        <f t="shared" si="25"/>
        <v>109280.81</v>
      </c>
      <c r="H108" s="151">
        <f t="shared" si="25"/>
        <v>115133.91</v>
      </c>
      <c r="I108" s="151">
        <f t="shared" si="25"/>
        <v>106452.91</v>
      </c>
      <c r="J108" s="151">
        <f t="shared" si="25"/>
        <v>107092.36</v>
      </c>
      <c r="K108" s="151">
        <f t="shared" si="25"/>
        <v>108040.52</v>
      </c>
      <c r="L108" s="151">
        <f t="shared" si="25"/>
        <v>113668.15</v>
      </c>
      <c r="M108" s="151">
        <f t="shared" si="25"/>
        <v>131877.61000000002</v>
      </c>
      <c r="N108" s="151">
        <f t="shared" si="25"/>
        <v>92495.709999999992</v>
      </c>
      <c r="O108" s="151">
        <f t="shared" si="25"/>
        <v>92571.9</v>
      </c>
      <c r="P108" s="151">
        <f t="shared" si="25"/>
        <v>97970.55</v>
      </c>
      <c r="Q108" s="19">
        <f t="shared" ref="Q108" si="26">SUM(Q39:Q107)</f>
        <v>1308330.49</v>
      </c>
      <c r="R108" s="353">
        <f>Q108/$Q$117</f>
        <v>37.731232588320118</v>
      </c>
      <c r="S108" s="354"/>
      <c r="T108" s="339" t="e">
        <f t="shared" si="23"/>
        <v>#DIV/0!</v>
      </c>
    </row>
    <row r="109" spans="1:20" s="77" customFormat="1" ht="25.4" customHeight="1">
      <c r="A109" s="3"/>
      <c r="B109" s="3"/>
      <c r="C109" s="3"/>
      <c r="D109" s="19" t="s">
        <v>277</v>
      </c>
      <c r="E109" s="151">
        <f t="shared" ref="E109:Q109" si="27">E28-E34-E36-E108</f>
        <v>66367.389999999985</v>
      </c>
      <c r="F109" s="151">
        <f t="shared" si="27"/>
        <v>-3644.7399999999907</v>
      </c>
      <c r="G109" s="151">
        <f t="shared" si="27"/>
        <v>117758.27999999997</v>
      </c>
      <c r="H109" s="151">
        <f t="shared" si="27"/>
        <v>71484.48000000001</v>
      </c>
      <c r="I109" s="151">
        <f t="shared" si="27"/>
        <v>89471.879999999976</v>
      </c>
      <c r="J109" s="151">
        <f t="shared" si="27"/>
        <v>85728.62999999999</v>
      </c>
      <c r="K109" s="151">
        <f t="shared" si="27"/>
        <v>64577.87999999999</v>
      </c>
      <c r="L109" s="151">
        <f t="shared" si="27"/>
        <v>41154.849999999977</v>
      </c>
      <c r="M109" s="151">
        <f t="shared" si="27"/>
        <v>-33684.000000000029</v>
      </c>
      <c r="N109" s="151">
        <f t="shared" si="27"/>
        <v>98652.890000000014</v>
      </c>
      <c r="O109" s="151">
        <f t="shared" si="27"/>
        <v>108533.26000000001</v>
      </c>
      <c r="P109" s="151">
        <f t="shared" si="27"/>
        <v>101122.83</v>
      </c>
      <c r="Q109" s="151">
        <f t="shared" si="27"/>
        <v>807523.63000000012</v>
      </c>
      <c r="R109" s="151"/>
      <c r="S109" s="148"/>
      <c r="T109" s="40" t="e">
        <f t="shared" ref="T109:T125" si="28">IF(Q109-S109=0,0,(Q109-S109)/S109)</f>
        <v>#DIV/0!</v>
      </c>
    </row>
    <row r="110" spans="1:20" s="77" customFormat="1" ht="25.4" customHeight="1">
      <c r="A110" s="3"/>
      <c r="B110" s="3"/>
      <c r="C110" s="3"/>
      <c r="D110" s="19" t="s">
        <v>278</v>
      </c>
      <c r="E110" s="129">
        <f t="shared" ref="E110:Q110" si="29">IF(E109=0,0,E109/E28)</f>
        <v>0.10773638368452791</v>
      </c>
      <c r="F110" s="129">
        <f t="shared" si="29"/>
        <v>-6.5505515796132844E-3</v>
      </c>
      <c r="G110" s="129">
        <f t="shared" si="29"/>
        <v>0.19116091857929124</v>
      </c>
      <c r="H110" s="129">
        <f t="shared" si="29"/>
        <v>0.11991122965050451</v>
      </c>
      <c r="I110" s="129">
        <f t="shared" si="29"/>
        <v>0.14524266801295091</v>
      </c>
      <c r="J110" s="129">
        <f t="shared" si="29"/>
        <v>0.14380499710640865</v>
      </c>
      <c r="K110" s="129">
        <f t="shared" si="29"/>
        <v>0.10483141279494947</v>
      </c>
      <c r="L110" s="129">
        <f t="shared" si="29"/>
        <v>6.6808031927716185E-2</v>
      </c>
      <c r="M110" s="129">
        <f t="shared" si="29"/>
        <v>-5.65030319804746E-2</v>
      </c>
      <c r="N110" s="129">
        <f t="shared" si="29"/>
        <v>0.16014650581599685</v>
      </c>
      <c r="O110" s="129">
        <f t="shared" si="29"/>
        <v>0.18205849248085618</v>
      </c>
      <c r="P110" s="129">
        <f t="shared" si="29"/>
        <v>0.16415604127486846</v>
      </c>
      <c r="Q110" s="129">
        <f t="shared" si="29"/>
        <v>0.11133500273503839</v>
      </c>
      <c r="R110" s="129"/>
      <c r="S110" s="40"/>
      <c r="T110" s="40" t="e">
        <f t="shared" si="28"/>
        <v>#DIV/0!</v>
      </c>
    </row>
    <row r="111" spans="1:20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152"/>
      <c r="S111" s="148"/>
      <c r="T111" s="40"/>
    </row>
    <row r="112" spans="1:20" s="77" customFormat="1" ht="25.4" customHeight="1">
      <c r="A112" s="50" t="s">
        <v>457</v>
      </c>
      <c r="B112" s="3" t="s">
        <v>372</v>
      </c>
      <c r="C112" s="3"/>
      <c r="D112" s="26" t="s">
        <v>440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162">
        <f>SUM(E112:P112)</f>
        <v>0</v>
      </c>
      <c r="R112" s="162"/>
      <c r="S112" s="148"/>
      <c r="T112" s="40">
        <f t="shared" si="28"/>
        <v>0</v>
      </c>
    </row>
    <row r="113" spans="1:21" s="77" customFormat="1" ht="25.4" customHeight="1">
      <c r="A113" s="3" t="s">
        <v>458</v>
      </c>
      <c r="B113" s="3" t="s">
        <v>372</v>
      </c>
      <c r="C113" s="3"/>
      <c r="D113" s="26" t="s">
        <v>442</v>
      </c>
      <c r="E113" s="74">
        <v>1550</v>
      </c>
      <c r="F113" s="74">
        <v>1400</v>
      </c>
      <c r="G113" s="74">
        <v>1550</v>
      </c>
      <c r="H113" s="74">
        <v>1500</v>
      </c>
      <c r="I113" s="74">
        <v>1550</v>
      </c>
      <c r="J113" s="74">
        <v>1500</v>
      </c>
      <c r="K113" s="74">
        <v>1550</v>
      </c>
      <c r="L113" s="74">
        <v>1550</v>
      </c>
      <c r="M113" s="74">
        <v>1500</v>
      </c>
      <c r="N113" s="74">
        <v>1550</v>
      </c>
      <c r="O113" s="74">
        <v>1500</v>
      </c>
      <c r="P113" s="74">
        <v>1550</v>
      </c>
      <c r="Q113" s="162">
        <f t="shared" ref="Q113:Q116" si="30">SUM(E113:P113)</f>
        <v>18250</v>
      </c>
      <c r="R113" s="162"/>
      <c r="S113" s="148"/>
      <c r="T113" s="40" t="e">
        <f t="shared" si="28"/>
        <v>#DIV/0!</v>
      </c>
    </row>
    <row r="114" spans="1:21" s="77" customFormat="1" ht="25.4" customHeight="1">
      <c r="A114" s="3" t="s">
        <v>459</v>
      </c>
      <c r="B114" s="3" t="s">
        <v>372</v>
      </c>
      <c r="C114" s="3"/>
      <c r="D114" s="26" t="s">
        <v>446</v>
      </c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62">
        <f t="shared" si="30"/>
        <v>0</v>
      </c>
      <c r="R114" s="162"/>
      <c r="S114" s="148"/>
      <c r="T114" s="40">
        <f>IF(S114&lt;&gt;0,(Q114-S114)/S114,1)</f>
        <v>1</v>
      </c>
    </row>
    <row r="115" spans="1:21" s="77" customFormat="1" ht="25.4" customHeight="1">
      <c r="A115" s="3" t="s">
        <v>460</v>
      </c>
      <c r="B115" s="3" t="s">
        <v>372</v>
      </c>
      <c r="C115" s="3"/>
      <c r="D115" s="26" t="s">
        <v>444</v>
      </c>
      <c r="E115" s="74">
        <v>1395</v>
      </c>
      <c r="F115" s="74">
        <v>1260</v>
      </c>
      <c r="G115" s="74">
        <v>1395</v>
      </c>
      <c r="H115" s="74">
        <v>1350</v>
      </c>
      <c r="I115" s="74">
        <v>1395</v>
      </c>
      <c r="J115" s="74">
        <v>1350</v>
      </c>
      <c r="K115" s="74">
        <v>1395</v>
      </c>
      <c r="L115" s="74">
        <v>1395</v>
      </c>
      <c r="M115" s="74">
        <v>1350</v>
      </c>
      <c r="N115" s="74">
        <v>1395</v>
      </c>
      <c r="O115" s="74">
        <v>1350</v>
      </c>
      <c r="P115" s="74">
        <v>1395</v>
      </c>
      <c r="Q115" s="162">
        <f t="shared" si="30"/>
        <v>16425</v>
      </c>
      <c r="R115" s="162"/>
      <c r="S115" s="148"/>
      <c r="T115" s="40">
        <f>IF(S115&lt;&gt;0,(Q115-S115)/S115,1)</f>
        <v>1</v>
      </c>
    </row>
    <row r="116" spans="1:21" s="77" customFormat="1" ht="25.4" customHeight="1">
      <c r="A116" s="3" t="s">
        <v>461</v>
      </c>
      <c r="B116" s="3" t="s">
        <v>372</v>
      </c>
      <c r="C116" s="3"/>
      <c r="D116" s="26" t="s">
        <v>448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162">
        <f t="shared" si="30"/>
        <v>0</v>
      </c>
      <c r="R116" s="162"/>
      <c r="S116" s="148"/>
      <c r="T116" s="40">
        <f t="shared" si="28"/>
        <v>0</v>
      </c>
    </row>
    <row r="117" spans="1:21" s="77" customFormat="1" ht="25.4" customHeight="1">
      <c r="A117" s="3"/>
      <c r="B117" s="3"/>
      <c r="C117" s="3"/>
      <c r="D117" s="19" t="s">
        <v>427</v>
      </c>
      <c r="E117" s="160">
        <f>SUM(E112:E116)</f>
        <v>2945</v>
      </c>
      <c r="F117" s="160">
        <f t="shared" ref="F117:Q117" si="31">SUM(F112:F116)</f>
        <v>2660</v>
      </c>
      <c r="G117" s="160">
        <f t="shared" si="31"/>
        <v>2945</v>
      </c>
      <c r="H117" s="160">
        <f t="shared" si="31"/>
        <v>2850</v>
      </c>
      <c r="I117" s="160">
        <f t="shared" si="31"/>
        <v>2945</v>
      </c>
      <c r="J117" s="160">
        <f t="shared" si="31"/>
        <v>2850</v>
      </c>
      <c r="K117" s="160">
        <f t="shared" si="31"/>
        <v>2945</v>
      </c>
      <c r="L117" s="160">
        <f t="shared" si="31"/>
        <v>2945</v>
      </c>
      <c r="M117" s="160">
        <f t="shared" si="31"/>
        <v>2850</v>
      </c>
      <c r="N117" s="160">
        <f t="shared" si="31"/>
        <v>2945</v>
      </c>
      <c r="O117" s="160">
        <f t="shared" si="31"/>
        <v>2850</v>
      </c>
      <c r="P117" s="160">
        <f t="shared" si="31"/>
        <v>2945</v>
      </c>
      <c r="Q117" s="320">
        <f t="shared" si="31"/>
        <v>34675</v>
      </c>
      <c r="R117" s="160"/>
      <c r="S117" s="148"/>
      <c r="T117" s="40" t="e">
        <f t="shared" si="28"/>
        <v>#DIV/0!</v>
      </c>
    </row>
    <row r="118" spans="1:21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152"/>
      <c r="S118" s="148"/>
      <c r="T118" s="40"/>
    </row>
    <row r="119" spans="1:21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152"/>
      <c r="S119" s="148"/>
      <c r="T119" s="40"/>
    </row>
    <row r="120" spans="1:21" s="77" customFormat="1" ht="25.4" customHeight="1">
      <c r="A120" s="3"/>
      <c r="B120" s="3"/>
      <c r="C120" s="3"/>
      <c r="D120" s="26" t="s">
        <v>440</v>
      </c>
      <c r="E120" s="163">
        <f t="shared" ref="E120:Q120" si="32">IF(E112=0,0,ROUND(E12/E112,2))</f>
        <v>0</v>
      </c>
      <c r="F120" s="163">
        <f t="shared" si="32"/>
        <v>0</v>
      </c>
      <c r="G120" s="163">
        <f t="shared" si="32"/>
        <v>0</v>
      </c>
      <c r="H120" s="163">
        <f t="shared" si="32"/>
        <v>0</v>
      </c>
      <c r="I120" s="163">
        <f t="shared" si="32"/>
        <v>0</v>
      </c>
      <c r="J120" s="163">
        <f t="shared" si="32"/>
        <v>0</v>
      </c>
      <c r="K120" s="163">
        <f t="shared" si="32"/>
        <v>0</v>
      </c>
      <c r="L120" s="163">
        <f t="shared" si="32"/>
        <v>0</v>
      </c>
      <c r="M120" s="163">
        <f t="shared" ref="M120:P124" si="33">IF(M112=0,0,ROUND(M12/M112,2))</f>
        <v>0</v>
      </c>
      <c r="N120" s="163">
        <f t="shared" si="33"/>
        <v>0</v>
      </c>
      <c r="O120" s="163">
        <f t="shared" si="33"/>
        <v>0</v>
      </c>
      <c r="P120" s="163">
        <f t="shared" si="33"/>
        <v>0</v>
      </c>
      <c r="Q120" s="163">
        <f t="shared" si="32"/>
        <v>0</v>
      </c>
      <c r="R120" s="163"/>
      <c r="S120" s="148"/>
      <c r="T120" s="40">
        <f t="shared" si="28"/>
        <v>0</v>
      </c>
    </row>
    <row r="121" spans="1:21" s="77" customFormat="1" ht="25.4" customHeight="1">
      <c r="A121" s="3"/>
      <c r="B121" s="3"/>
      <c r="C121" s="3"/>
      <c r="D121" s="26" t="s">
        <v>442</v>
      </c>
      <c r="E121" s="61">
        <f t="shared" ref="E121:Q121" si="34">IF(E113=0,0,ROUND(E13/E113,2))</f>
        <v>170</v>
      </c>
      <c r="F121" s="61">
        <f t="shared" si="34"/>
        <v>170</v>
      </c>
      <c r="G121" s="61">
        <f t="shared" si="34"/>
        <v>170</v>
      </c>
      <c r="H121" s="61">
        <f t="shared" si="34"/>
        <v>170</v>
      </c>
      <c r="I121" s="61">
        <f t="shared" si="34"/>
        <v>170</v>
      </c>
      <c r="J121" s="61">
        <f t="shared" si="34"/>
        <v>170</v>
      </c>
      <c r="K121" s="61">
        <f t="shared" si="34"/>
        <v>170</v>
      </c>
      <c r="L121" s="61">
        <f t="shared" si="34"/>
        <v>170</v>
      </c>
      <c r="M121" s="61">
        <f t="shared" si="33"/>
        <v>170</v>
      </c>
      <c r="N121" s="61">
        <f t="shared" si="33"/>
        <v>170</v>
      </c>
      <c r="O121" s="61">
        <f t="shared" si="33"/>
        <v>170</v>
      </c>
      <c r="P121" s="61">
        <f t="shared" si="33"/>
        <v>170</v>
      </c>
      <c r="Q121" s="61">
        <f t="shared" si="34"/>
        <v>170</v>
      </c>
      <c r="R121" s="163"/>
      <c r="S121" s="148"/>
      <c r="T121" s="40" t="e">
        <f t="shared" si="28"/>
        <v>#DIV/0!</v>
      </c>
    </row>
    <row r="122" spans="1:21" s="77" customFormat="1" ht="25.4" customHeight="1">
      <c r="A122" s="3"/>
      <c r="B122" s="3"/>
      <c r="C122" s="3"/>
      <c r="D122" s="26" t="s">
        <v>446</v>
      </c>
      <c r="E122" s="61">
        <f t="shared" ref="E122:Q122" si="35">IF(E114=0,0,ROUND(E14/E114,2))</f>
        <v>0</v>
      </c>
      <c r="F122" s="61">
        <f t="shared" si="35"/>
        <v>0</v>
      </c>
      <c r="G122" s="61">
        <f t="shared" si="35"/>
        <v>0</v>
      </c>
      <c r="H122" s="61">
        <f t="shared" si="35"/>
        <v>0</v>
      </c>
      <c r="I122" s="61">
        <f t="shared" si="35"/>
        <v>0</v>
      </c>
      <c r="J122" s="61">
        <f t="shared" si="35"/>
        <v>0</v>
      </c>
      <c r="K122" s="61">
        <f t="shared" si="35"/>
        <v>0</v>
      </c>
      <c r="L122" s="61">
        <f t="shared" si="35"/>
        <v>0</v>
      </c>
      <c r="M122" s="61">
        <f t="shared" si="33"/>
        <v>0</v>
      </c>
      <c r="N122" s="61">
        <f t="shared" si="33"/>
        <v>0</v>
      </c>
      <c r="O122" s="61">
        <f t="shared" si="33"/>
        <v>0</v>
      </c>
      <c r="P122" s="61">
        <f t="shared" si="33"/>
        <v>0</v>
      </c>
      <c r="Q122" s="61">
        <f t="shared" si="35"/>
        <v>0</v>
      </c>
      <c r="R122" s="163"/>
      <c r="S122" s="148"/>
      <c r="T122" s="40">
        <f>IF(S122&lt;&gt;0,(Q122-S122)/S122,1)</f>
        <v>1</v>
      </c>
    </row>
    <row r="123" spans="1:21" s="77" customFormat="1" ht="25.4" customHeight="1">
      <c r="A123" s="3"/>
      <c r="B123" s="3"/>
      <c r="C123" s="3"/>
      <c r="D123" s="26" t="s">
        <v>444</v>
      </c>
      <c r="E123" s="61">
        <f t="shared" ref="E123:Q123" si="36">IF(E115=0,0,ROUND(E15/E115,2))</f>
        <v>200</v>
      </c>
      <c r="F123" s="61">
        <f t="shared" si="36"/>
        <v>200</v>
      </c>
      <c r="G123" s="61">
        <f t="shared" si="36"/>
        <v>200</v>
      </c>
      <c r="H123" s="61">
        <f t="shared" si="36"/>
        <v>200</v>
      </c>
      <c r="I123" s="61">
        <f t="shared" si="36"/>
        <v>200</v>
      </c>
      <c r="J123" s="61">
        <f t="shared" si="36"/>
        <v>200</v>
      </c>
      <c r="K123" s="61">
        <f t="shared" si="36"/>
        <v>200</v>
      </c>
      <c r="L123" s="61">
        <f t="shared" si="36"/>
        <v>200</v>
      </c>
      <c r="M123" s="61">
        <f t="shared" si="33"/>
        <v>200</v>
      </c>
      <c r="N123" s="61">
        <f t="shared" si="33"/>
        <v>200</v>
      </c>
      <c r="O123" s="61">
        <f t="shared" si="33"/>
        <v>200</v>
      </c>
      <c r="P123" s="61">
        <f t="shared" si="33"/>
        <v>200</v>
      </c>
      <c r="Q123" s="61">
        <f t="shared" si="36"/>
        <v>200</v>
      </c>
      <c r="R123" s="163"/>
      <c r="S123" s="148"/>
      <c r="T123" s="40">
        <f>IF(S123&lt;&gt;0,(Q123-S123)/S123,1)</f>
        <v>1</v>
      </c>
    </row>
    <row r="124" spans="1:21" s="77" customFormat="1" ht="25.4" customHeight="1">
      <c r="A124" s="3"/>
      <c r="B124" s="3"/>
      <c r="C124" s="3"/>
      <c r="D124" s="26" t="s">
        <v>448</v>
      </c>
      <c r="E124" s="61">
        <f t="shared" ref="E124:Q124" si="37">IF(E116=0,0,ROUND(E16/E116,2))</f>
        <v>0</v>
      </c>
      <c r="F124" s="61">
        <f t="shared" si="37"/>
        <v>0</v>
      </c>
      <c r="G124" s="61">
        <f t="shared" si="37"/>
        <v>0</v>
      </c>
      <c r="H124" s="61">
        <f t="shared" si="37"/>
        <v>0</v>
      </c>
      <c r="I124" s="61">
        <f t="shared" si="37"/>
        <v>0</v>
      </c>
      <c r="J124" s="61">
        <f t="shared" si="37"/>
        <v>0</v>
      </c>
      <c r="K124" s="61">
        <f t="shared" si="37"/>
        <v>0</v>
      </c>
      <c r="L124" s="61">
        <f t="shared" si="37"/>
        <v>0</v>
      </c>
      <c r="M124" s="61">
        <f t="shared" si="33"/>
        <v>0</v>
      </c>
      <c r="N124" s="61">
        <f t="shared" si="33"/>
        <v>0</v>
      </c>
      <c r="O124" s="61">
        <f t="shared" si="33"/>
        <v>0</v>
      </c>
      <c r="P124" s="61">
        <f t="shared" si="33"/>
        <v>0</v>
      </c>
      <c r="Q124" s="61">
        <f t="shared" si="37"/>
        <v>0</v>
      </c>
      <c r="R124" s="163"/>
      <c r="S124" s="148"/>
      <c r="T124" s="40">
        <f t="shared" si="28"/>
        <v>0</v>
      </c>
    </row>
    <row r="125" spans="1:21" s="77" customFormat="1" ht="25.4" customHeight="1">
      <c r="A125" s="3"/>
      <c r="B125" s="3"/>
      <c r="C125" s="3"/>
      <c r="D125" s="19" t="s">
        <v>429</v>
      </c>
      <c r="E125" s="161">
        <f>IF(E117=0,0,ROUND(E17/E117,2))</f>
        <v>184.21</v>
      </c>
      <c r="F125" s="161">
        <f t="shared" ref="F125:Q125" si="38">IF(F117=0,0,ROUND(F17/F117,2))</f>
        <v>184.21</v>
      </c>
      <c r="G125" s="161">
        <f t="shared" si="38"/>
        <v>184.21</v>
      </c>
      <c r="H125" s="161">
        <f t="shared" si="38"/>
        <v>184.21</v>
      </c>
      <c r="I125" s="161">
        <f t="shared" si="38"/>
        <v>184.21</v>
      </c>
      <c r="J125" s="161">
        <f t="shared" si="38"/>
        <v>184.21</v>
      </c>
      <c r="K125" s="161">
        <f t="shared" si="38"/>
        <v>184.21</v>
      </c>
      <c r="L125" s="161">
        <f t="shared" si="38"/>
        <v>184.21</v>
      </c>
      <c r="M125" s="161">
        <f t="shared" si="38"/>
        <v>184.21</v>
      </c>
      <c r="N125" s="161">
        <f t="shared" si="38"/>
        <v>184.21</v>
      </c>
      <c r="O125" s="161">
        <f t="shared" si="38"/>
        <v>184.21</v>
      </c>
      <c r="P125" s="161">
        <f t="shared" si="38"/>
        <v>184.21</v>
      </c>
      <c r="Q125" s="321">
        <f t="shared" si="38"/>
        <v>184.21</v>
      </c>
      <c r="R125" s="164"/>
      <c r="S125" s="148"/>
      <c r="T125" s="40" t="e">
        <f t="shared" si="28"/>
        <v>#DIV/0!</v>
      </c>
    </row>
    <row r="126" spans="1:21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152"/>
      <c r="S126" s="148"/>
      <c r="T126" s="40"/>
    </row>
    <row r="127" spans="1:21" s="77" customFormat="1" ht="25.4" customHeight="1">
      <c r="A127" s="3"/>
      <c r="B127" s="3"/>
      <c r="C127" s="3"/>
      <c r="D127" s="19" t="s">
        <v>430</v>
      </c>
      <c r="E127" s="151">
        <f>IF(E117=0,0,ROUND((E34+E36+E108)/E117,2))</f>
        <v>186.64</v>
      </c>
      <c r="F127" s="151">
        <f t="shared" ref="F127:Q127" si="39">IF(F117=0,0,ROUND((F34+F36+F108)/F117,2))</f>
        <v>210.54</v>
      </c>
      <c r="G127" s="151">
        <f t="shared" si="39"/>
        <v>169.19</v>
      </c>
      <c r="H127" s="151">
        <f t="shared" si="39"/>
        <v>184.09</v>
      </c>
      <c r="I127" s="151">
        <f t="shared" si="39"/>
        <v>178.79</v>
      </c>
      <c r="J127" s="151">
        <f t="shared" si="39"/>
        <v>179.09</v>
      </c>
      <c r="K127" s="151">
        <f t="shared" si="39"/>
        <v>187.25</v>
      </c>
      <c r="L127" s="151">
        <f t="shared" si="39"/>
        <v>195.2</v>
      </c>
      <c r="M127" s="151">
        <f t="shared" si="39"/>
        <v>220.99</v>
      </c>
      <c r="N127" s="151">
        <f t="shared" si="39"/>
        <v>175.68</v>
      </c>
      <c r="O127" s="151">
        <f t="shared" si="39"/>
        <v>171.09</v>
      </c>
      <c r="P127" s="151">
        <f t="shared" si="39"/>
        <v>174.84</v>
      </c>
      <c r="Q127" s="151">
        <f t="shared" si="39"/>
        <v>185.89</v>
      </c>
      <c r="R127" s="151"/>
      <c r="S127" s="148"/>
      <c r="T127" s="40" t="e">
        <f>-IF(Q127-S127=0,0,(Q127-S127)/S127)</f>
        <v>#DIV/0!</v>
      </c>
      <c r="U127" s="319"/>
    </row>
    <row r="128" spans="1:21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152"/>
      <c r="S128" s="148"/>
      <c r="T128" s="40"/>
    </row>
    <row r="129" spans="1:20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152"/>
      <c r="S129" s="148"/>
      <c r="T129" s="40"/>
    </row>
    <row r="130" spans="1:20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152"/>
      <c r="S130" s="148"/>
      <c r="T130" s="40"/>
    </row>
    <row r="131" spans="1:20" s="77" customFormat="1" ht="25.4" customHeight="1">
      <c r="A131" s="3" t="s">
        <v>297</v>
      </c>
      <c r="B131" s="3" t="s">
        <v>372</v>
      </c>
      <c r="C131" s="3"/>
      <c r="D131" s="3" t="s">
        <v>299</v>
      </c>
      <c r="E131" s="134">
        <v>23730.629999999997</v>
      </c>
      <c r="F131" s="134">
        <v>30029.58</v>
      </c>
      <c r="G131" s="134">
        <v>21673.279999999999</v>
      </c>
      <c r="H131" s="134">
        <v>23848.18</v>
      </c>
      <c r="I131" s="134">
        <v>21743.84</v>
      </c>
      <c r="J131" s="134">
        <v>22331.79</v>
      </c>
      <c r="K131" s="134">
        <v>23544.22</v>
      </c>
      <c r="L131" s="134">
        <v>25424.03</v>
      </c>
      <c r="M131" s="134">
        <v>29323.29</v>
      </c>
      <c r="N131" s="134">
        <v>18125.349999999999</v>
      </c>
      <c r="O131" s="134">
        <v>18803.23</v>
      </c>
      <c r="P131" s="134">
        <v>20230.669999999998</v>
      </c>
      <c r="Q131" s="134">
        <f>SUM(E131:P131)</f>
        <v>278808.09000000003</v>
      </c>
      <c r="R131" s="134">
        <f>Q131/$Q$117</f>
        <v>8.0406082191780825</v>
      </c>
      <c r="S131" s="148"/>
      <c r="T131" s="40" t="e">
        <f>-IF(Q131-S131=0,0,(Q131-S131)/S131)</f>
        <v>#DIV/0!</v>
      </c>
    </row>
    <row r="132" spans="1:20" s="77" customFormat="1" ht="25.4" customHeight="1">
      <c r="A132" s="3" t="s">
        <v>300</v>
      </c>
      <c r="B132" s="3" t="s">
        <v>372</v>
      </c>
      <c r="C132" s="3"/>
      <c r="D132" s="3" t="s">
        <v>434</v>
      </c>
      <c r="E132" s="134">
        <v>62785.53</v>
      </c>
      <c r="F132" s="134">
        <v>90576.5</v>
      </c>
      <c r="G132" s="134">
        <v>53708.53</v>
      </c>
      <c r="H132" s="134">
        <v>63304.18</v>
      </c>
      <c r="I132" s="134">
        <v>64059.76</v>
      </c>
      <c r="J132" s="134">
        <v>67135.94</v>
      </c>
      <c r="K132" s="134">
        <v>73479.34</v>
      </c>
      <c r="L132" s="134">
        <v>83314.55</v>
      </c>
      <c r="M132" s="134">
        <v>107680.11</v>
      </c>
      <c r="N132" s="134">
        <v>46852.9</v>
      </c>
      <c r="O132" s="134">
        <v>50535.16</v>
      </c>
      <c r="P132" s="134">
        <v>59254.79</v>
      </c>
      <c r="Q132" s="134">
        <f t="shared" ref="Q132:Q133" si="40">SUM(E132:P132)</f>
        <v>822687.29000000015</v>
      </c>
      <c r="R132" s="134">
        <f>Q132/$Q$117</f>
        <v>23.725660850757034</v>
      </c>
      <c r="S132" s="148"/>
      <c r="T132" s="40" t="e">
        <f t="shared" ref="T132:T165" si="41">-IF(Q132-S132=0,0,(Q132-S132)/S132)</f>
        <v>#DIV/0!</v>
      </c>
    </row>
    <row r="133" spans="1:20" s="77" customFormat="1" ht="25.4" customHeight="1">
      <c r="A133" s="50" t="s">
        <v>300</v>
      </c>
      <c r="B133" s="3" t="s">
        <v>372</v>
      </c>
      <c r="C133" s="3"/>
      <c r="D133" s="3" t="s">
        <v>436</v>
      </c>
      <c r="E133" s="61">
        <v>46900</v>
      </c>
      <c r="F133" s="61">
        <v>46900</v>
      </c>
      <c r="G133" s="61">
        <v>46900</v>
      </c>
      <c r="H133" s="61">
        <v>46900</v>
      </c>
      <c r="I133" s="61">
        <v>46900</v>
      </c>
      <c r="J133" s="61">
        <v>46900</v>
      </c>
      <c r="K133" s="61">
        <v>60600</v>
      </c>
      <c r="L133" s="61">
        <v>60600</v>
      </c>
      <c r="M133" s="61">
        <v>60600</v>
      </c>
      <c r="N133" s="61">
        <v>60600</v>
      </c>
      <c r="O133" s="61">
        <v>60600</v>
      </c>
      <c r="P133" s="61">
        <v>60600</v>
      </c>
      <c r="Q133" s="134">
        <f t="shared" si="40"/>
        <v>645000</v>
      </c>
      <c r="R133" s="134">
        <f>Q133/$Q$117</f>
        <v>18.601297764960346</v>
      </c>
      <c r="S133" s="148"/>
      <c r="T133" s="40" t="e">
        <f t="shared" si="41"/>
        <v>#DIV/0!</v>
      </c>
    </row>
    <row r="134" spans="1:20" s="77" customFormat="1" ht="25.4" customHeight="1">
      <c r="A134" s="3"/>
      <c r="B134" s="3"/>
      <c r="C134" s="3"/>
      <c r="D134" s="19" t="s">
        <v>437</v>
      </c>
      <c r="E134" s="151">
        <f>SUM(E131:E133)</f>
        <v>133416.16</v>
      </c>
      <c r="F134" s="151">
        <f t="shared" ref="F134:P134" si="42">SUM(F131:F133)</f>
        <v>167506.08000000002</v>
      </c>
      <c r="G134" s="151">
        <f t="shared" si="42"/>
        <v>122281.81</v>
      </c>
      <c r="H134" s="151">
        <f t="shared" si="42"/>
        <v>134052.35999999999</v>
      </c>
      <c r="I134" s="151">
        <f t="shared" si="42"/>
        <v>132703.6</v>
      </c>
      <c r="J134" s="151">
        <f t="shared" si="42"/>
        <v>136367.73000000001</v>
      </c>
      <c r="K134" s="151">
        <f t="shared" si="42"/>
        <v>157623.56</v>
      </c>
      <c r="L134" s="151">
        <f t="shared" si="42"/>
        <v>169338.58000000002</v>
      </c>
      <c r="M134" s="151">
        <f t="shared" si="42"/>
        <v>197603.4</v>
      </c>
      <c r="N134" s="151">
        <f t="shared" si="42"/>
        <v>125578.25</v>
      </c>
      <c r="O134" s="151">
        <f t="shared" si="42"/>
        <v>129938.39</v>
      </c>
      <c r="P134" s="151">
        <f t="shared" si="42"/>
        <v>140085.46</v>
      </c>
      <c r="Q134" s="151">
        <f t="shared" ref="Q134" si="43">SUM(Q131:Q133)</f>
        <v>1746495.3800000001</v>
      </c>
      <c r="R134" s="134">
        <f>Q134/$Q$117</f>
        <v>50.367566834895463</v>
      </c>
      <c r="S134" s="148"/>
      <c r="T134" s="40" t="e">
        <f t="shared" si="41"/>
        <v>#DIV/0!</v>
      </c>
    </row>
    <row r="135" spans="1:20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S135" s="148"/>
      <c r="T135" s="40"/>
    </row>
    <row r="136" spans="1:20" s="77" customFormat="1" ht="25.4" customHeight="1">
      <c r="A136" s="3" t="s">
        <v>308</v>
      </c>
      <c r="B136" s="3" t="s">
        <v>372</v>
      </c>
      <c r="C136" s="3"/>
      <c r="D136" s="26" t="s">
        <v>309</v>
      </c>
      <c r="E136" s="61">
        <v>30258.11</v>
      </c>
      <c r="F136" s="61">
        <v>0</v>
      </c>
      <c r="G136" s="61">
        <v>0</v>
      </c>
      <c r="H136" s="61">
        <v>9120.36</v>
      </c>
      <c r="I136" s="61">
        <v>15304.77</v>
      </c>
      <c r="J136" s="61">
        <v>0</v>
      </c>
      <c r="K136" s="61">
        <v>0</v>
      </c>
      <c r="L136" s="61">
        <v>0</v>
      </c>
      <c r="M136" s="61">
        <v>0</v>
      </c>
      <c r="N136" s="61">
        <v>29642.21</v>
      </c>
      <c r="O136" s="61">
        <v>0</v>
      </c>
      <c r="P136" s="61">
        <v>0</v>
      </c>
      <c r="Q136" s="134">
        <f>SUM(E136:P136)</f>
        <v>84325.450000000012</v>
      </c>
      <c r="R136" s="134">
        <f t="shared" ref="R136:R143" si="44">Q136/$Q$117</f>
        <v>2.4318803172314349</v>
      </c>
      <c r="S136" s="148"/>
      <c r="T136" s="40" t="e">
        <f t="shared" si="41"/>
        <v>#DIV/0!</v>
      </c>
    </row>
    <row r="137" spans="1:20" s="77" customFormat="1" ht="25.4" customHeight="1">
      <c r="A137" s="3" t="s">
        <v>310</v>
      </c>
      <c r="B137" s="3" t="s">
        <v>372</v>
      </c>
      <c r="C137" s="3"/>
      <c r="D137" s="26" t="s">
        <v>311</v>
      </c>
      <c r="E137" s="61">
        <v>1667.7</v>
      </c>
      <c r="F137" s="61">
        <v>2093.83</v>
      </c>
      <c r="G137" s="61">
        <v>1528.52</v>
      </c>
      <c r="H137" s="61">
        <v>1675.65</v>
      </c>
      <c r="I137" s="61">
        <v>1658.8</v>
      </c>
      <c r="J137" s="61">
        <v>1704.6</v>
      </c>
      <c r="K137" s="61">
        <v>1970.29</v>
      </c>
      <c r="L137" s="61">
        <v>2116.73</v>
      </c>
      <c r="M137" s="61">
        <v>2470.04</v>
      </c>
      <c r="N137" s="61">
        <v>1569.73</v>
      </c>
      <c r="O137" s="61">
        <v>1624.23</v>
      </c>
      <c r="P137" s="61">
        <v>1751.0700000000002</v>
      </c>
      <c r="Q137" s="134">
        <f t="shared" ref="Q137:Q140" si="45">SUM(E137:P137)</f>
        <v>21831.19</v>
      </c>
      <c r="R137" s="134">
        <f t="shared" si="44"/>
        <v>0.62959452054794518</v>
      </c>
      <c r="S137" s="148"/>
      <c r="T137" s="40" t="e">
        <f t="shared" si="41"/>
        <v>#DIV/0!</v>
      </c>
    </row>
    <row r="138" spans="1:20" s="77" customFormat="1" ht="25.4" customHeight="1">
      <c r="A138" s="3" t="s">
        <v>312</v>
      </c>
      <c r="B138" s="3" t="s">
        <v>372</v>
      </c>
      <c r="C138" s="3"/>
      <c r="D138" s="26" t="s">
        <v>313</v>
      </c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134">
        <f t="shared" si="45"/>
        <v>0</v>
      </c>
      <c r="R138" s="134">
        <f t="shared" si="44"/>
        <v>0</v>
      </c>
      <c r="S138" s="148"/>
      <c r="T138" s="40">
        <f t="shared" si="41"/>
        <v>0</v>
      </c>
    </row>
    <row r="139" spans="1:20" s="77" customFormat="1" ht="25.4" customHeight="1">
      <c r="A139" s="3" t="s">
        <v>314</v>
      </c>
      <c r="B139" s="3" t="s">
        <v>372</v>
      </c>
      <c r="C139" s="3"/>
      <c r="D139" s="26" t="s">
        <v>315</v>
      </c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134">
        <f t="shared" si="45"/>
        <v>0</v>
      </c>
      <c r="R139" s="134">
        <f t="shared" si="44"/>
        <v>0</v>
      </c>
      <c r="S139" s="148"/>
      <c r="T139" s="40">
        <f t="shared" si="41"/>
        <v>0</v>
      </c>
    </row>
    <row r="140" spans="1:20" s="77" customFormat="1" ht="25.4" customHeight="1">
      <c r="A140" s="3" t="s">
        <v>316</v>
      </c>
      <c r="B140" s="3" t="s">
        <v>372</v>
      </c>
      <c r="C140" s="3"/>
      <c r="D140" s="26" t="s">
        <v>317</v>
      </c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134">
        <f t="shared" si="45"/>
        <v>0</v>
      </c>
      <c r="R140" s="134">
        <f t="shared" si="44"/>
        <v>0</v>
      </c>
      <c r="S140" s="148"/>
      <c r="T140" s="40">
        <f t="shared" si="41"/>
        <v>0</v>
      </c>
    </row>
    <row r="141" spans="1:20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:Q142" si="46">SUM(E141:P141)</f>
        <v>0</v>
      </c>
      <c r="R141" s="134">
        <f t="shared" si="44"/>
        <v>0</v>
      </c>
      <c r="S141" s="148"/>
      <c r="T141" s="40"/>
    </row>
    <row r="142" spans="1:20" s="77" customFormat="1" ht="25.4" customHeight="1">
      <c r="A142" s="3" t="s">
        <v>1066</v>
      </c>
      <c r="B142" s="3" t="s">
        <v>368</v>
      </c>
      <c r="C142" s="3"/>
      <c r="D142" s="26" t="s">
        <v>1206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46"/>
        <v>0</v>
      </c>
      <c r="R142" s="134">
        <f t="shared" si="44"/>
        <v>0</v>
      </c>
      <c r="S142" s="148"/>
      <c r="T142" s="40"/>
    </row>
    <row r="143" spans="1:20" s="77" customFormat="1" ht="25.4" customHeight="1">
      <c r="A143" s="3"/>
      <c r="B143" s="3"/>
      <c r="C143" s="3"/>
      <c r="D143" s="19" t="s">
        <v>318</v>
      </c>
      <c r="E143" s="151">
        <f>SUM(E136:E142)</f>
        <v>31925.81</v>
      </c>
      <c r="F143" s="151">
        <f t="shared" ref="F143:P143" si="47">SUM(F136:F142)</f>
        <v>2093.83</v>
      </c>
      <c r="G143" s="151">
        <f t="shared" si="47"/>
        <v>1528.52</v>
      </c>
      <c r="H143" s="151">
        <f t="shared" si="47"/>
        <v>10796.01</v>
      </c>
      <c r="I143" s="151">
        <f t="shared" si="47"/>
        <v>16963.57</v>
      </c>
      <c r="J143" s="151">
        <f t="shared" si="47"/>
        <v>1704.6</v>
      </c>
      <c r="K143" s="151">
        <f t="shared" si="47"/>
        <v>1970.29</v>
      </c>
      <c r="L143" s="151">
        <f t="shared" si="47"/>
        <v>2116.73</v>
      </c>
      <c r="M143" s="151">
        <f t="shared" si="47"/>
        <v>2470.04</v>
      </c>
      <c r="N143" s="151">
        <f t="shared" si="47"/>
        <v>31211.94</v>
      </c>
      <c r="O143" s="151">
        <f t="shared" si="47"/>
        <v>1624.23</v>
      </c>
      <c r="P143" s="151">
        <f t="shared" si="47"/>
        <v>1751.0700000000002</v>
      </c>
      <c r="Q143" s="151">
        <f t="shared" ref="Q143" si="48">SUM(Q136:Q140)</f>
        <v>106156.64000000001</v>
      </c>
      <c r="R143" s="134">
        <f t="shared" si="44"/>
        <v>3.0614748377793806</v>
      </c>
      <c r="S143" s="148"/>
      <c r="T143" s="40" t="e">
        <f t="shared" si="41"/>
        <v>#DIV/0!</v>
      </c>
    </row>
    <row r="144" spans="1:20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S144" s="148"/>
      <c r="T144" s="40"/>
    </row>
    <row r="145" spans="1:20" s="77" customFormat="1" ht="25.4" customHeight="1">
      <c r="A145" s="3" t="s">
        <v>319</v>
      </c>
      <c r="B145" s="3" t="s">
        <v>372</v>
      </c>
      <c r="C145" s="3"/>
      <c r="D145" s="26" t="s">
        <v>320</v>
      </c>
      <c r="E145" s="61">
        <v>16714.25</v>
      </c>
      <c r="F145" s="61">
        <v>21324.48</v>
      </c>
      <c r="G145" s="61">
        <v>15208.48</v>
      </c>
      <c r="H145" s="61">
        <v>16800.29</v>
      </c>
      <c r="I145" s="61">
        <v>16771.18</v>
      </c>
      <c r="J145" s="61">
        <v>17274.060000000001</v>
      </c>
      <c r="K145" s="61">
        <v>20454.870000000003</v>
      </c>
      <c r="L145" s="61">
        <v>22062.71</v>
      </c>
      <c r="M145" s="61">
        <v>25995.25</v>
      </c>
      <c r="N145" s="61">
        <v>16079.970000000001</v>
      </c>
      <c r="O145" s="61">
        <v>16680.2</v>
      </c>
      <c r="P145" s="61">
        <v>18090.489999999998</v>
      </c>
      <c r="Q145" s="134">
        <f>SUM(E145:P145)</f>
        <v>223456.22999999998</v>
      </c>
      <c r="R145" s="134">
        <f t="shared" ref="R145:R153" si="49">Q145/$Q$117</f>
        <v>6.44430367700072</v>
      </c>
      <c r="S145" s="148"/>
      <c r="T145" s="40" t="e">
        <f t="shared" si="41"/>
        <v>#DIV/0!</v>
      </c>
    </row>
    <row r="146" spans="1:20" s="77" customFormat="1" ht="25.4" customHeight="1">
      <c r="A146" s="3" t="s">
        <v>321</v>
      </c>
      <c r="B146" s="3" t="s">
        <v>372</v>
      </c>
      <c r="C146" s="3"/>
      <c r="D146" s="26" t="s">
        <v>322</v>
      </c>
      <c r="E146" s="61">
        <v>6554.9400000000005</v>
      </c>
      <c r="F146" s="61">
        <v>8356.880000000001</v>
      </c>
      <c r="G146" s="61">
        <v>5966.4</v>
      </c>
      <c r="H146" s="61">
        <v>6588.57</v>
      </c>
      <c r="I146" s="61">
        <v>6588.98</v>
      </c>
      <c r="J146" s="61">
        <v>6786.11</v>
      </c>
      <c r="K146" s="61">
        <v>8014.59</v>
      </c>
      <c r="L146" s="61">
        <v>8644.84</v>
      </c>
      <c r="M146" s="61">
        <v>10190.02</v>
      </c>
      <c r="N146" s="61">
        <v>6301.32</v>
      </c>
      <c r="O146" s="61">
        <v>6536.73</v>
      </c>
      <c r="P146" s="61">
        <v>7090.38</v>
      </c>
      <c r="Q146" s="134">
        <f t="shared" ref="Q146:Q152" si="50">SUM(E146:P146)</f>
        <v>87619.76</v>
      </c>
      <c r="R146" s="134">
        <f t="shared" si="49"/>
        <v>2.5268856524873828</v>
      </c>
      <c r="S146" s="148"/>
      <c r="T146" s="40" t="e">
        <f t="shared" si="41"/>
        <v>#DIV/0!</v>
      </c>
    </row>
    <row r="147" spans="1:20" s="77" customFormat="1" ht="25.4" customHeight="1">
      <c r="A147" s="3" t="s">
        <v>323</v>
      </c>
      <c r="B147" s="3" t="s">
        <v>372</v>
      </c>
      <c r="C147" s="3"/>
      <c r="D147" s="26" t="s">
        <v>324</v>
      </c>
      <c r="E147" s="61">
        <v>885.84999999999991</v>
      </c>
      <c r="F147" s="61">
        <v>1131.3600000000001</v>
      </c>
      <c r="G147" s="61">
        <v>805.67000000000007</v>
      </c>
      <c r="H147" s="61">
        <v>890.43000000000006</v>
      </c>
      <c r="I147" s="61">
        <v>888.74</v>
      </c>
      <c r="J147" s="61">
        <v>915.51</v>
      </c>
      <c r="K147" s="61">
        <v>1080.32</v>
      </c>
      <c r="L147" s="61">
        <v>1165.92</v>
      </c>
      <c r="M147" s="61">
        <v>1375.19</v>
      </c>
      <c r="N147" s="61">
        <v>847.3599999999999</v>
      </c>
      <c r="O147" s="61">
        <v>879.31999999999994</v>
      </c>
      <c r="P147" s="61">
        <v>954.32999999999993</v>
      </c>
      <c r="Q147" s="134">
        <f t="shared" si="50"/>
        <v>11820</v>
      </c>
      <c r="R147" s="134">
        <f t="shared" si="49"/>
        <v>0.34087959625090125</v>
      </c>
      <c r="S147" s="148"/>
      <c r="T147" s="40" t="e">
        <f t="shared" si="41"/>
        <v>#DIV/0!</v>
      </c>
    </row>
    <row r="148" spans="1:20" s="77" customFormat="1" ht="25.4" customHeight="1">
      <c r="A148" s="3" t="s">
        <v>325</v>
      </c>
      <c r="B148" s="3" t="s">
        <v>372</v>
      </c>
      <c r="C148" s="3"/>
      <c r="D148" s="26" t="s">
        <v>326</v>
      </c>
      <c r="E148" s="61">
        <v>442.92999999999995</v>
      </c>
      <c r="F148" s="61">
        <v>565.68000000000006</v>
      </c>
      <c r="G148" s="61">
        <v>402.83000000000004</v>
      </c>
      <c r="H148" s="61">
        <v>445.22</v>
      </c>
      <c r="I148" s="61">
        <v>444.37</v>
      </c>
      <c r="J148" s="61">
        <v>457.75</v>
      </c>
      <c r="K148" s="61">
        <v>540.16</v>
      </c>
      <c r="L148" s="61">
        <v>582.96</v>
      </c>
      <c r="M148" s="61">
        <v>687.59999999999991</v>
      </c>
      <c r="N148" s="61">
        <v>423.67999999999995</v>
      </c>
      <c r="O148" s="61">
        <v>439.65999999999997</v>
      </c>
      <c r="P148" s="61">
        <v>477.15999999999997</v>
      </c>
      <c r="Q148" s="134">
        <f t="shared" si="50"/>
        <v>5910</v>
      </c>
      <c r="R148" s="134">
        <f t="shared" si="49"/>
        <v>0.17043979812545063</v>
      </c>
      <c r="S148" s="148"/>
      <c r="T148" s="40" t="e">
        <f t="shared" si="41"/>
        <v>#DIV/0!</v>
      </c>
    </row>
    <row r="149" spans="1:20" s="77" customFormat="1" ht="25.4" customHeight="1">
      <c r="A149" s="3" t="s">
        <v>327</v>
      </c>
      <c r="B149" s="3" t="s">
        <v>372</v>
      </c>
      <c r="C149" s="3"/>
      <c r="D149" s="26" t="s">
        <v>328</v>
      </c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134">
        <f t="shared" si="50"/>
        <v>0</v>
      </c>
      <c r="R149" s="134">
        <f t="shared" si="49"/>
        <v>0</v>
      </c>
      <c r="S149" s="148"/>
      <c r="T149" s="40">
        <f t="shared" si="41"/>
        <v>0</v>
      </c>
    </row>
    <row r="150" spans="1:20" s="77" customFormat="1" ht="25.4" customHeight="1">
      <c r="A150" s="3" t="s">
        <v>329</v>
      </c>
      <c r="B150" s="3" t="s">
        <v>372</v>
      </c>
      <c r="C150" s="3"/>
      <c r="D150" s="26" t="s">
        <v>330</v>
      </c>
      <c r="E150" s="61">
        <v>8858.5299999999988</v>
      </c>
      <c r="F150" s="61">
        <v>11313.61</v>
      </c>
      <c r="G150" s="61">
        <v>8056.66</v>
      </c>
      <c r="H150" s="61">
        <v>8904.35</v>
      </c>
      <c r="I150" s="61">
        <v>8887.35</v>
      </c>
      <c r="J150" s="61">
        <v>9155.09</v>
      </c>
      <c r="K150" s="61">
        <v>10803.17</v>
      </c>
      <c r="L150" s="61">
        <v>11659.17</v>
      </c>
      <c r="M150" s="61">
        <v>13751.91</v>
      </c>
      <c r="N150" s="61">
        <v>8473.64</v>
      </c>
      <c r="O150" s="61">
        <v>8793.17</v>
      </c>
      <c r="P150" s="61">
        <v>9543.27</v>
      </c>
      <c r="Q150" s="134">
        <f t="shared" si="50"/>
        <v>118199.92</v>
      </c>
      <c r="R150" s="134">
        <f t="shared" si="49"/>
        <v>3.408793655371305</v>
      </c>
      <c r="S150" s="148"/>
      <c r="T150" s="40" t="e">
        <f t="shared" si="41"/>
        <v>#DIV/0!</v>
      </c>
    </row>
    <row r="151" spans="1:20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2668.3199999999997</v>
      </c>
      <c r="F151" s="61">
        <v>3350.12</v>
      </c>
      <c r="G151" s="61">
        <v>2445.6400000000003</v>
      </c>
      <c r="H151" s="61">
        <v>2681.05</v>
      </c>
      <c r="I151" s="61">
        <v>2654.0699999999997</v>
      </c>
      <c r="J151" s="61">
        <v>2727.35</v>
      </c>
      <c r="K151" s="61">
        <v>3152.4700000000003</v>
      </c>
      <c r="L151" s="61">
        <v>3386.77</v>
      </c>
      <c r="M151" s="61">
        <v>3952.07</v>
      </c>
      <c r="N151" s="61">
        <v>2511.56</v>
      </c>
      <c r="O151" s="61">
        <v>2598.77</v>
      </c>
      <c r="P151" s="61">
        <v>2801.71</v>
      </c>
      <c r="Q151" s="134">
        <f t="shared" si="50"/>
        <v>34929.9</v>
      </c>
      <c r="R151" s="134">
        <f t="shared" si="49"/>
        <v>1.0073511175198271</v>
      </c>
      <c r="S151" s="148"/>
      <c r="T151" s="40" t="e">
        <f t="shared" si="41"/>
        <v>#DIV/0!</v>
      </c>
    </row>
    <row r="152" spans="1:20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134">
        <f t="shared" si="50"/>
        <v>0</v>
      </c>
      <c r="R152" s="134">
        <f t="shared" si="49"/>
        <v>0</v>
      </c>
      <c r="S152" s="148"/>
      <c r="T152" s="40">
        <f t="shared" si="41"/>
        <v>0</v>
      </c>
    </row>
    <row r="153" spans="1:20" s="77" customFormat="1" ht="25.4" customHeight="1">
      <c r="A153" s="3"/>
      <c r="B153" s="3"/>
      <c r="C153" s="3"/>
      <c r="D153" s="19" t="s">
        <v>335</v>
      </c>
      <c r="E153" s="151">
        <f>SUM(E145:E152)</f>
        <v>36124.82</v>
      </c>
      <c r="F153" s="151">
        <f t="shared" ref="F153:P153" si="51">SUM(F145:F152)</f>
        <v>46042.130000000005</v>
      </c>
      <c r="G153" s="151">
        <f t="shared" si="51"/>
        <v>32885.68</v>
      </c>
      <c r="H153" s="151">
        <f t="shared" si="51"/>
        <v>36309.910000000003</v>
      </c>
      <c r="I153" s="151">
        <f t="shared" si="51"/>
        <v>36234.69</v>
      </c>
      <c r="J153" s="151">
        <f t="shared" si="51"/>
        <v>37315.870000000003</v>
      </c>
      <c r="K153" s="151">
        <f t="shared" si="51"/>
        <v>44045.58</v>
      </c>
      <c r="L153" s="151">
        <f t="shared" si="51"/>
        <v>47502.369999999995</v>
      </c>
      <c r="M153" s="151">
        <f t="shared" si="51"/>
        <v>55952.04</v>
      </c>
      <c r="N153" s="151">
        <f t="shared" si="51"/>
        <v>34637.53</v>
      </c>
      <c r="O153" s="151">
        <f t="shared" si="51"/>
        <v>35927.85</v>
      </c>
      <c r="P153" s="151">
        <f t="shared" si="51"/>
        <v>38957.339999999997</v>
      </c>
      <c r="Q153" s="151">
        <f t="shared" ref="Q153" si="52">SUM(Q145:Q152)</f>
        <v>481935.81</v>
      </c>
      <c r="R153" s="134">
        <f t="shared" si="49"/>
        <v>13.898653496755587</v>
      </c>
      <c r="S153" s="148"/>
      <c r="T153" s="40" t="e">
        <f t="shared" si="41"/>
        <v>#DIV/0!</v>
      </c>
    </row>
    <row r="154" spans="1:20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S154" s="148"/>
      <c r="T154" s="40"/>
    </row>
    <row r="155" spans="1:20" s="77" customFormat="1" ht="25.4" hidden="1" customHeight="1">
      <c r="A155" s="3" t="s">
        <v>336</v>
      </c>
      <c r="B155" s="3" t="s">
        <v>403</v>
      </c>
      <c r="C155" s="3"/>
      <c r="D155" s="26" t="s">
        <v>337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134">
        <f>SUM(E155:P155)</f>
        <v>0</v>
      </c>
      <c r="R155" s="134"/>
      <c r="S155" s="148"/>
      <c r="T155" s="40">
        <f t="shared" si="41"/>
        <v>0</v>
      </c>
    </row>
    <row r="156" spans="1:20" s="77" customFormat="1" ht="25.4" hidden="1" customHeight="1">
      <c r="A156" s="3" t="s">
        <v>338</v>
      </c>
      <c r="B156" s="3" t="s">
        <v>403</v>
      </c>
      <c r="C156" s="3"/>
      <c r="D156" s="3" t="s">
        <v>339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61">
        <v>0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134">
        <f t="shared" ref="Q156:Q161" si="53">SUM(E156:P156)</f>
        <v>0</v>
      </c>
      <c r="R156" s="134"/>
      <c r="S156" s="148"/>
      <c r="T156" s="40">
        <f t="shared" si="41"/>
        <v>0</v>
      </c>
    </row>
    <row r="157" spans="1:20" s="77" customFormat="1" ht="25.4" hidden="1" customHeight="1">
      <c r="A157" s="3" t="s">
        <v>340</v>
      </c>
      <c r="B157" s="3" t="s">
        <v>403</v>
      </c>
      <c r="C157" s="3"/>
      <c r="D157" s="26" t="s">
        <v>341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134">
        <f t="shared" si="53"/>
        <v>0</v>
      </c>
      <c r="R157" s="134"/>
      <c r="S157" s="148"/>
      <c r="T157" s="40">
        <f t="shared" si="41"/>
        <v>0</v>
      </c>
    </row>
    <row r="158" spans="1:20" s="77" customFormat="1" ht="25.4" hidden="1" customHeight="1">
      <c r="A158" s="3" t="s">
        <v>342</v>
      </c>
      <c r="B158" s="3" t="s">
        <v>403</v>
      </c>
      <c r="C158" s="3"/>
      <c r="D158" s="26" t="s">
        <v>343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134">
        <f t="shared" si="53"/>
        <v>0</v>
      </c>
      <c r="R158" s="134"/>
      <c r="S158" s="148"/>
      <c r="T158" s="40">
        <f t="shared" si="41"/>
        <v>0</v>
      </c>
    </row>
    <row r="159" spans="1:20" s="77" customFormat="1" ht="25.4" customHeight="1">
      <c r="A159" s="3" t="s">
        <v>344</v>
      </c>
      <c r="B159" s="3" t="s">
        <v>372</v>
      </c>
      <c r="C159" s="3"/>
      <c r="D159" s="26" t="s">
        <v>345</v>
      </c>
      <c r="E159" s="61">
        <v>1403.0700000000002</v>
      </c>
      <c r="F159" s="61">
        <v>2273.8900000000003</v>
      </c>
      <c r="G159" s="61">
        <v>1304.3200000000002</v>
      </c>
      <c r="H159" s="61">
        <v>1408.71</v>
      </c>
      <c r="I159" s="61">
        <v>1410.55</v>
      </c>
      <c r="J159" s="61">
        <v>1443.71</v>
      </c>
      <c r="K159" s="61">
        <v>1692.0900000000001</v>
      </c>
      <c r="L159" s="61">
        <v>1798.12</v>
      </c>
      <c r="M159" s="61">
        <v>2065.6099999999997</v>
      </c>
      <c r="N159" s="61">
        <v>1407.17</v>
      </c>
      <c r="O159" s="61">
        <v>1447.03</v>
      </c>
      <c r="P159" s="61">
        <v>1543.8400000000001</v>
      </c>
      <c r="Q159" s="134">
        <f t="shared" si="53"/>
        <v>19198.11</v>
      </c>
      <c r="R159" s="134">
        <f>Q159/$Q$117</f>
        <v>0.55365854361932232</v>
      </c>
      <c r="S159" s="148"/>
      <c r="T159" s="40" t="e">
        <f t="shared" si="41"/>
        <v>#DIV/0!</v>
      </c>
    </row>
    <row r="160" spans="1:20" s="77" customFormat="1" ht="25.4" customHeight="1">
      <c r="A160" s="3" t="s">
        <v>346</v>
      </c>
      <c r="B160" s="3" t="s">
        <v>372</v>
      </c>
      <c r="C160" s="3"/>
      <c r="D160" s="26" t="s">
        <v>347</v>
      </c>
      <c r="E160" s="61">
        <v>8318.57</v>
      </c>
      <c r="F160" s="61">
        <v>10071.36</v>
      </c>
      <c r="G160" s="61">
        <v>7672.43</v>
      </c>
      <c r="H160" s="61">
        <v>8254.1200000000008</v>
      </c>
      <c r="I160" s="61">
        <v>8045.09</v>
      </c>
      <c r="J160" s="61">
        <v>8110.78</v>
      </c>
      <c r="K160" s="61">
        <v>9331.3300000000017</v>
      </c>
      <c r="L160" s="61">
        <v>9916.010000000002</v>
      </c>
      <c r="M160" s="61">
        <v>11308.180000000002</v>
      </c>
      <c r="N160" s="61">
        <v>7647.74</v>
      </c>
      <c r="O160" s="61">
        <v>7835.91</v>
      </c>
      <c r="P160" s="61">
        <v>8330.0499999999993</v>
      </c>
      <c r="Q160" s="134">
        <f t="shared" si="53"/>
        <v>104841.57000000002</v>
      </c>
      <c r="R160" s="134">
        <f>Q160/$Q$117</f>
        <v>3.0235492429704403</v>
      </c>
      <c r="S160" s="148"/>
      <c r="T160" s="40" t="e">
        <f t="shared" si="41"/>
        <v>#DIV/0!</v>
      </c>
    </row>
    <row r="161" spans="1:20" s="77" customFormat="1" ht="25.4" customHeight="1">
      <c r="A161" s="3" t="s">
        <v>348</v>
      </c>
      <c r="B161" s="3" t="s">
        <v>372</v>
      </c>
      <c r="C161" s="3"/>
      <c r="D161" s="26" t="s">
        <v>349</v>
      </c>
      <c r="E161" s="61">
        <v>24629.73</v>
      </c>
      <c r="F161" s="61">
        <v>29443.79</v>
      </c>
      <c r="G161" s="61">
        <v>22224.7</v>
      </c>
      <c r="H161" s="61">
        <v>24111.999999999996</v>
      </c>
      <c r="I161" s="61">
        <v>23654.26</v>
      </c>
      <c r="J161" s="61">
        <v>23787.82</v>
      </c>
      <c r="K161" s="61">
        <v>27655.299999999996</v>
      </c>
      <c r="L161" s="61">
        <v>29441.739999999998</v>
      </c>
      <c r="M161" s="61">
        <v>33958.619999999995</v>
      </c>
      <c r="N161" s="61">
        <v>23305.319999999992</v>
      </c>
      <c r="O161" s="61">
        <v>23672.93</v>
      </c>
      <c r="P161" s="61">
        <v>25175.41</v>
      </c>
      <c r="Q161" s="134">
        <f t="shared" si="53"/>
        <v>311061.61999999994</v>
      </c>
      <c r="R161" s="134">
        <f>Q161/$Q$117</f>
        <v>8.9707749098774308</v>
      </c>
      <c r="S161" s="148"/>
      <c r="T161" s="40" t="e">
        <f t="shared" si="41"/>
        <v>#DIV/0!</v>
      </c>
    </row>
    <row r="162" spans="1:20" s="77" customFormat="1" ht="25.4" customHeight="1">
      <c r="A162" s="3"/>
      <c r="B162" s="3"/>
      <c r="C162" s="3"/>
      <c r="D162" s="19" t="s">
        <v>350</v>
      </c>
      <c r="E162" s="151">
        <f>SUM(E155:E161)</f>
        <v>34351.369999999995</v>
      </c>
      <c r="F162" s="151">
        <f t="shared" ref="F162:P162" si="54">SUM(F155:F161)</f>
        <v>41789.040000000001</v>
      </c>
      <c r="G162" s="151">
        <f t="shared" si="54"/>
        <v>31201.45</v>
      </c>
      <c r="H162" s="151">
        <f t="shared" si="54"/>
        <v>33774.83</v>
      </c>
      <c r="I162" s="151">
        <f t="shared" si="54"/>
        <v>33109.899999999994</v>
      </c>
      <c r="J162" s="151">
        <f t="shared" si="54"/>
        <v>33342.31</v>
      </c>
      <c r="K162" s="151">
        <f t="shared" si="54"/>
        <v>38678.720000000001</v>
      </c>
      <c r="L162" s="151">
        <f t="shared" si="54"/>
        <v>41155.869999999995</v>
      </c>
      <c r="M162" s="151">
        <f t="shared" si="54"/>
        <v>47332.409999999996</v>
      </c>
      <c r="N162" s="151">
        <f t="shared" si="54"/>
        <v>32360.229999999992</v>
      </c>
      <c r="O162" s="151">
        <f t="shared" si="54"/>
        <v>32955.870000000003</v>
      </c>
      <c r="P162" s="151">
        <f t="shared" si="54"/>
        <v>35049.300000000003</v>
      </c>
      <c r="Q162" s="151">
        <f t="shared" ref="Q162" si="55">SUM(Q155:Q161)</f>
        <v>435101.29999999993</v>
      </c>
      <c r="R162" s="134">
        <f>Q162/$Q$117</f>
        <v>12.547982696467193</v>
      </c>
      <c r="S162" s="148"/>
      <c r="T162" s="40" t="e">
        <f t="shared" si="41"/>
        <v>#DIV/0!</v>
      </c>
    </row>
    <row r="163" spans="1:20" s="77" customFormat="1" ht="25.4" customHeight="1">
      <c r="A163" s="3"/>
      <c r="B163" s="3"/>
      <c r="C163" s="3"/>
      <c r="D163" s="19" t="s">
        <v>351</v>
      </c>
      <c r="E163" s="151">
        <f>E134+E143+E153+E162</f>
        <v>235818.16</v>
      </c>
      <c r="F163" s="151">
        <f t="shared" ref="F163:P163" si="56">F134+F143+F153+F162</f>
        <v>257431.08000000002</v>
      </c>
      <c r="G163" s="151">
        <f t="shared" si="56"/>
        <v>187897.46000000002</v>
      </c>
      <c r="H163" s="151">
        <f t="shared" si="56"/>
        <v>214933.11</v>
      </c>
      <c r="I163" s="151">
        <f t="shared" si="56"/>
        <v>219011.76</v>
      </c>
      <c r="J163" s="151">
        <f t="shared" si="56"/>
        <v>208730.51</v>
      </c>
      <c r="K163" s="151">
        <f t="shared" si="56"/>
        <v>242318.15</v>
      </c>
      <c r="L163" s="151">
        <f t="shared" si="56"/>
        <v>260113.55000000002</v>
      </c>
      <c r="M163" s="151">
        <f t="shared" si="56"/>
        <v>303357.89</v>
      </c>
      <c r="N163" s="151">
        <f t="shared" si="56"/>
        <v>223787.94999999998</v>
      </c>
      <c r="O163" s="151">
        <f t="shared" si="56"/>
        <v>200446.34</v>
      </c>
      <c r="P163" s="151">
        <f t="shared" si="56"/>
        <v>215843.16999999998</v>
      </c>
      <c r="Q163" s="151">
        <f t="shared" ref="Q163" si="57">Q134+Q143+Q153+Q162</f>
        <v>2769689.13</v>
      </c>
      <c r="R163" s="134">
        <f>Q163/$Q$117</f>
        <v>79.875677865897615</v>
      </c>
      <c r="S163" s="148"/>
      <c r="T163" s="40" t="e">
        <f t="shared" si="41"/>
        <v>#DIV/0!</v>
      </c>
    </row>
    <row r="164" spans="1:20" s="42" customFormat="1" ht="25.4" customHeight="1">
      <c r="S164" s="148"/>
      <c r="T164" s="40"/>
    </row>
    <row r="165" spans="1:20" s="77" customFormat="1" ht="25.4" customHeight="1">
      <c r="A165" s="3" t="s">
        <v>108</v>
      </c>
      <c r="B165" s="3" t="s">
        <v>372</v>
      </c>
      <c r="C165" s="3"/>
      <c r="D165" s="19" t="s">
        <v>354</v>
      </c>
      <c r="E165" s="65">
        <v>23</v>
      </c>
      <c r="F165" s="65">
        <v>28</v>
      </c>
      <c r="G165" s="65">
        <v>22</v>
      </c>
      <c r="H165" s="65">
        <v>23</v>
      </c>
      <c r="I165" s="65">
        <v>24</v>
      </c>
      <c r="J165" s="65">
        <v>24</v>
      </c>
      <c r="K165" s="65">
        <v>28</v>
      </c>
      <c r="L165" s="65">
        <v>30</v>
      </c>
      <c r="M165" s="65">
        <v>34</v>
      </c>
      <c r="N165" s="65">
        <v>23</v>
      </c>
      <c r="O165" s="65">
        <v>24</v>
      </c>
      <c r="P165" s="65">
        <v>26</v>
      </c>
      <c r="Q165" s="157">
        <f>SUM(E165:P165)/12</f>
        <v>25.75</v>
      </c>
      <c r="R165" s="158"/>
      <c r="S165" s="148"/>
      <c r="T165" s="40" t="e">
        <f t="shared" si="41"/>
        <v>#DIV/0!</v>
      </c>
    </row>
  </sheetData>
  <phoneticPr fontId="56" type="noConversion"/>
  <dataValidations count="70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3695725_x000d__x000a_" sqref="Q15">
      <formula1>0</formula1>
      <formula2>300</formula2>
    </dataValidation>
    <dataValidation type="textLength" errorStyle="information" allowBlank="1" showInputMessage="1" showErrorMessage="1" error="XLBVal:6=44987.9_x000d__x000a_" sqref="E21:P21">
      <formula1>0</formula1>
      <formula2>300</formula2>
    </dataValidation>
    <dataValidation type="textLength" errorStyle="information" allowBlank="1" showInputMessage="1" showErrorMessage="1" error="XLBVal:6=458670.58_x000d__x000a_" sqref="E12:P12 N14:P14 N16:P16 N23:P23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623590.56_x000d__x000a_" sqref="E14:M14">
      <formula1>0</formula1>
      <formula2>300</formula2>
    </dataValidation>
    <dataValidation type="textLength" errorStyle="information" allowBlank="1" showInputMessage="1" showErrorMessage="1" error="XLBVal:6=209604.31_x000d__x000a_" sqref="E27:M27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28034847_x000d__x000a_" sqref="Q14">
      <formula1>0</formula1>
      <formula2>300</formula2>
    </dataValidation>
    <dataValidation type="textLength" errorStyle="information" allowBlank="1" showInputMessage="1" showErrorMessage="1" error="XLBVal:6=116848_x000d__x000a_" sqref="Q62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8814300_x000d__x000a_" sqref="Q16">
      <formula1>0</formula1>
      <formula2>300</formula2>
    </dataValidation>
    <dataValidation type="textLength" errorStyle="information" allowBlank="1" showInputMessage="1" showErrorMessage="1" error="XLBVal:5=2443234.73_x000d__x000a_" sqref="E29:E30 H29:H30">
      <formula1>0</formula1>
      <formula2>300</formula2>
    </dataValidation>
    <dataValidation type="textLength" errorStyle="information" allowBlank="1" showInputMessage="1" showErrorMessage="1" error="XLBVal:5=1285238.57_x000d__x000a_" sqref="F17:G17 I17:R17 E25:R25 E34:R34 R36 E17:E19 H17:H19">
      <formula1>0</formula1>
      <formula2>300</formula2>
    </dataValidation>
    <dataValidation type="textLength" errorStyle="information" allowBlank="1" showInputMessage="1" showErrorMessage="1" error="XLBVal:6=3973_x000d__x000a_" sqref="E113:P113">
      <formula1>0</formula1>
      <formula2>300</formula2>
    </dataValidation>
    <dataValidation type="textLength" errorStyle="information" allowBlank="1" showInputMessage="1" showErrorMessage="1" error="XLBVal:6=7235.47_x000d__x000a_" sqref="E20:P20">
      <formula1>0</formula1>
      <formula2>300</formula2>
    </dataValidation>
    <dataValidation type="textLength" errorStyle="information" allowBlank="1" showInputMessage="1" showErrorMessage="1" error="XLBVal:6=24659.36_x000d__x000a_" sqref="E22:P22">
      <formula1>0</formula1>
      <formula2>300</formula2>
    </dataValidation>
    <dataValidation type="textLength" errorStyle="information" allowBlank="1" showInputMessage="1" showErrorMessage="1" error="XLBVal:6=398000_x000d__x000a_" sqref="Q23">
      <formula1>0</formula1>
      <formula2>300</formula2>
    </dataValidation>
    <dataValidation type="textLength" errorStyle="information" allowBlank="1" showInputMessage="1" showErrorMessage="1" error="XLBVal:6=976708_x000d__x000a_" sqref="Q32">
      <formula1>0</formula1>
      <formula2>300</formula2>
    </dataValidation>
    <dataValidation type="textLength" errorStyle="information" allowBlank="1" showInputMessage="1" showErrorMessage="1" error="XLBVal:6=527000_x000d__x000a_" sqref="Q24">
      <formula1>0</formula1>
      <formula2>300</formula2>
    </dataValidation>
    <dataValidation type="textLength" errorStyle="information" allowBlank="1" showInputMessage="1" showErrorMessage="1" error="XLBVal:6=514.58_x000d__x000a_" sqref="E26:P26">
      <formula1>0</formula1>
      <formula2>300</formula2>
    </dataValidation>
    <dataValidation type="textLength" errorStyle="information" allowBlank="1" showInputMessage="1" showErrorMessage="1" error="XLBVal:5=15426.66_x000d__x000a_" sqref="I35 I37:I38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4423_x000d__x000a_" sqref="E112:P112">
      <formula1>0</formula1>
      <formula2>300</formula2>
    </dataValidation>
    <dataValidation type="textLength" errorStyle="information" allowBlank="1" showInputMessage="1" showErrorMessage="1" error="XLBVal:2=0_x000d__x000a_" sqref="N27:P27 E33:Q33 E35:G35 Q66:R66 E24:P24 Q98:R98 E23:M23 E108:R108 E117:R117 E136:P142 R165 F37:F38 Q112:R116 Q12:Q13 Q20:Q22 Q39:Q41 Q43:Q46 Q48:Q49 Q51:Q52 Q55:Q57 Q60:Q61 Q68:Q73 Q76:Q93 Q101:Q105 Q132:Q133 Q155:Q161 R12:R16 R20:R24 R26:R27 R31:R33 R39:R65 R99:R107 R132:R134 E155:P158 R145:R153 R155:R163 E151:P152 E15:P15 R136:R143 E16:M16 E115:P116 E131:R131 R67:R97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25196619_x000d__x000a_" sqref="Q31">
      <formula1>0</formula1>
      <formula2>300</formula2>
    </dataValidation>
    <dataValidation type="textLength" errorStyle="information" allowBlank="1" showInputMessage="1" showErrorMessage="1" error="XLBVal:6=21065.12_x000d__x000a_" sqref="E32:P32">
      <formula1>0</formula1>
      <formula2>300</formula2>
    </dataValidation>
    <dataValidation type="textLength" errorStyle="information" allowBlank="1" showInputMessage="1" showErrorMessage="1" error="XLBVal:6=519808_x000d__x000a_" sqref="Q75">
      <formula1>0</formula1>
      <formula2>300</formula2>
    </dataValidation>
    <dataValidation type="textLength" errorStyle="information" allowBlank="1" showInputMessage="1" showErrorMessage="1" error="XLBVal:5=0_x000d__x000a_" sqref="H35 F18:F19 F29:F30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702600_x000d__x000a_" sqref="Q42">
      <formula1>0</formula1>
      <formula2>300</formula2>
    </dataValidation>
    <dataValidation type="textLength" errorStyle="information" allowBlank="1" showInputMessage="1" showErrorMessage="1" error="XLBVal:6=81123_x000d__x000a_" sqref="Q94:Q96">
      <formula1>0</formula1>
      <formula2>300</formula2>
    </dataValidation>
    <dataValidation type="textLength" errorStyle="information" allowBlank="1" showInputMessage="1" showErrorMessage="1" error="XLBVal:6=343809_x000d__x000a_" sqref="Q47">
      <formula1>0</formula1>
      <formula2>300</formula2>
    </dataValidation>
    <dataValidation type="textLength" errorStyle="information" allowBlank="1" showInputMessage="1" showErrorMessage="1" error="XLBVal:6=0_x000d__x000a_" sqref="E109:R109">
      <formula1>0</formula1>
      <formula2>300</formula2>
    </dataValidation>
    <dataValidation type="textLength" errorStyle="information" allowBlank="1" showInputMessage="1" showErrorMessage="1" error="XLBVal:6=38000_x000d__x000a_" sqref="Q50">
      <formula1>0</formula1>
      <formula2>300</formula2>
    </dataValidation>
    <dataValidation type="textLength" errorStyle="information" allowBlank="1" showInputMessage="1" showErrorMessage="1" error="XLBVal:6=15000_x000d__x000a_" sqref="Q63">
      <formula1>0</formula1>
      <formula2>300</formula2>
    </dataValidation>
    <dataValidation type="textLength" errorStyle="information" allowBlank="1" showInputMessage="1" showErrorMessage="1" error="XLBVal:6=21420_x000d__x000a_" sqref="Q53">
      <formula1>0</formula1>
      <formula2>300</formula2>
    </dataValidation>
    <dataValidation type="textLength" errorStyle="information" allowBlank="1" showInputMessage="1" showErrorMessage="1" error="XLBVal:6=699_x000d__x000a_" sqref="E114:P114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error="XLBVal:6=881130_x000d__x000a_" sqref="Q54">
      <formula1>0</formula1>
      <formula2>300</formula2>
    </dataValidation>
    <dataValidation type="textLength" errorStyle="information" allowBlank="1" showInputMessage="1" showErrorMessage="1" error="XLBVal:6=214706_x000d__x000a_" sqref="Q58">
      <formula1>0</formula1>
      <formula2>300</formula2>
    </dataValidation>
    <dataValidation type="textLength" errorStyle="information" allowBlank="1" showInputMessage="1" showErrorMessage="1" error="XLBVal:6=931616_x000d__x000a_" sqref="Q59">
      <formula1>0</formula1>
      <formula2>300</formula2>
    </dataValidation>
    <dataValidation type="textLength" errorStyle="information" allowBlank="1" showInputMessage="1" showErrorMessage="1" error="XLBVal:6=27676_x000d__x000a_" sqref="Q64">
      <formula1>0</formula1>
      <formula2>300</formula2>
    </dataValidation>
    <dataValidation type="textLength" errorStyle="information" allowBlank="1" showInputMessage="1" showErrorMessage="1" error="XLBVal:6=129818_x000d__x000a_" sqref="Q65">
      <formula1>0</formula1>
      <formula2>300</formula2>
    </dataValidation>
    <dataValidation type="textLength" errorStyle="information" allowBlank="1" showInputMessage="1" showErrorMessage="1" error="XLBVal:6=331635_x000d__x000a_" sqref="Q67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6=280481_x000d__x000a_" sqref="Q74">
      <formula1>0</formula1>
      <formula2>300</formula2>
    </dataValidation>
    <dataValidation type="textLength" errorStyle="information" allowBlank="1" showInputMessage="1" showErrorMessage="1" error="XLBVal:6=3678_x000d__x000a_" sqref="E154:P154">
      <formula1>0</formula1>
      <formula2>300</formula2>
    </dataValidation>
    <dataValidation type="textLength" errorStyle="information" allowBlank="1" showInputMessage="1" showErrorMessage="1" error="XLBVal:6=50429_x000d__x000a_" sqref="Q97">
      <formula1>0</formula1>
      <formula2>300</formula2>
    </dataValidation>
    <dataValidation type="textLength" errorStyle="information" allowBlank="1" showInputMessage="1" showErrorMessage="1" error="XLBVal:6=94314_x000d__x000a_" sqref="Q99">
      <formula1>0</formula1>
      <formula2>300</formula2>
    </dataValidation>
    <dataValidation type="textLength" errorStyle="information" allowBlank="1" showInputMessage="1" showErrorMessage="1" error="XLBVal:6=18000_x000d__x000a_" sqref="Q100">
      <formula1>0</formula1>
      <formula2>300</formula2>
    </dataValidation>
    <dataValidation type="textLength" errorStyle="information" allowBlank="1" showInputMessage="1" showErrorMessage="1" sqref="E118:I118 F126:I126 F127:R127 E120:E130 F128:I130 E164:P164 F120:R125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5=1616616_x000d__x000a_" sqref="G18:G19">
      <formula1>0</formula1>
      <formula2>300</formula2>
    </dataValidation>
    <dataValidation type="textLength" errorStyle="information" allowBlank="1" showInputMessage="1" showErrorMessage="1" error="XLBVal:5=3384188.86_x000d__x000a_" sqref="G29:G30">
      <formula1>0</formula1>
      <formula2>300</formula2>
    </dataValidation>
    <dataValidation type="textLength" errorStyle="information" allowBlank="1" showInputMessage="1" showErrorMessage="1" error="XLBVal:6=6595485.04_x000d__x000a_" sqref="G37:G38">
      <formula1>0</formula1>
      <formula2>300</formula2>
    </dataValidation>
    <dataValidation type="textLength" errorStyle="information" allowBlank="1" showInputMessage="1" showErrorMessage="1" error="XLBVal:5=-2586288.67_x000d__x000a_" sqref="H37:H38">
      <formula1>0</formula1>
      <formula2>300</formula2>
    </dataValidation>
    <dataValidation type="textLength" errorStyle="information" allowBlank="1" showInputMessage="1" showErrorMessage="1" error="XLBVal:5=-331377.43_x000d__x000a_" sqref="I18:I19">
      <formula1>0</formula1>
      <formula2>300</formula2>
    </dataValidation>
    <dataValidation type="textLength" errorStyle="information" allowBlank="1" showInputMessage="1" showErrorMessage="1" error="XLBVal:5=-279047.98_x000d__x000a_" sqref="I29:I30">
      <formula1>0</formula1>
      <formula2>300</formula2>
    </dataValidation>
    <dataValidation type="textLength" errorStyle="information" allowBlank="1" showInputMessage="1" showErrorMessage="1" error="XLBVal:6=311395_x000d__x000a_" sqref="Q106:Q107">
      <formula1>0</formula1>
      <formula2>300</formula2>
    </dataValidation>
    <dataValidation type="textLength" errorStyle="information" allowBlank="1" showInputMessage="1" showErrorMessage="1" error="XLBVal:6=995082_x000d__x000a_" sqref="Q136:Q142">
      <formula1>0</formula1>
      <formula2>300</formula2>
    </dataValidation>
    <dataValidation type="textLength" errorStyle="information" allowBlank="1" showInputMessage="1" showErrorMessage="1" error="XLBVal:6=2660698_x000d__x000a_" sqref="Q145:Q152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82302.23_x000d__x000a_" sqref="E145:P150">
      <formula1>0</formula1>
      <formula2>300</formula2>
    </dataValidation>
    <dataValidation type="textLength" allowBlank="1" showErrorMessage="1" sqref="E39:P10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165"/>
  <sheetViews>
    <sheetView topLeftCell="D1" zoomScale="50" zoomScaleNormal="50" zoomScaleSheetLayoutView="40" workbookViewId="0">
      <pane ySplit="10" topLeftCell="A77" activePane="bottomLeft" state="frozen"/>
      <selection activeCell="E39" sqref="E39:P108"/>
      <selection pane="bottomLeft" activeCell="E39" sqref="E39:P108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95.453125" style="6" customWidth="1" collapsed="1"/>
    <col min="5" max="5" width="19.90625" style="7" customWidth="1"/>
    <col min="6" max="6" width="21.08984375" style="7" customWidth="1"/>
    <col min="7" max="9" width="19.90625" style="7" customWidth="1"/>
    <col min="10" max="11" width="19.90625" style="139" customWidth="1"/>
    <col min="12" max="12" width="19.90625" style="5" customWidth="1"/>
    <col min="13" max="13" width="22.453125" style="139" customWidth="1"/>
    <col min="14" max="15" width="20.90625" style="139" customWidth="1"/>
    <col min="16" max="16" width="21.08984375" style="139" customWidth="1"/>
    <col min="17" max="17" width="36.453125" style="139" customWidth="1"/>
    <col min="18" max="18" width="18.453125" style="139" customWidth="1"/>
    <col min="19" max="19" width="8.90625" style="139"/>
    <col min="20" max="20" width="22.453125" style="140" customWidth="1"/>
    <col min="21" max="21" width="22.453125" style="166" customWidth="1"/>
    <col min="22" max="16384" width="8.90625" style="139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T1" s="32"/>
      <c r="U1" s="167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T2" s="32"/>
      <c r="U2" s="167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T3" s="32"/>
      <c r="U3" s="167"/>
    </row>
    <row r="4" spans="1:21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T4" s="147"/>
      <c r="U4" s="168"/>
    </row>
    <row r="5" spans="1:21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T5" s="147"/>
      <c r="U5" s="168"/>
    </row>
    <row r="6" spans="1:21" s="138" customFormat="1" ht="25.4" customHeight="1">
      <c r="D6" s="10" t="s">
        <v>438</v>
      </c>
      <c r="E6" s="143"/>
      <c r="F6" s="143"/>
      <c r="G6" s="143"/>
      <c r="H6" s="143"/>
      <c r="I6" s="143"/>
      <c r="L6" s="2"/>
      <c r="T6" s="147"/>
      <c r="U6" s="168"/>
    </row>
    <row r="7" spans="1:21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T7" s="147"/>
      <c r="U7" s="168"/>
    </row>
    <row r="8" spans="1:21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1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R9" s="18"/>
      <c r="T9" s="148"/>
      <c r="U9" s="40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T10" s="36" t="s">
        <v>23</v>
      </c>
      <c r="U10" s="37" t="s">
        <v>24</v>
      </c>
    </row>
    <row r="11" spans="1:21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T11" s="148"/>
      <c r="U11" s="40"/>
    </row>
    <row r="12" spans="1:21" s="77" customFormat="1" ht="25.4" customHeight="1">
      <c r="A12" s="50" t="s">
        <v>439</v>
      </c>
      <c r="B12" s="3" t="s">
        <v>368</v>
      </c>
      <c r="C12" s="3"/>
      <c r="D12" s="26" t="s">
        <v>440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>
        <f>SUM(E12:P12)</f>
        <v>0</v>
      </c>
      <c r="R12" s="146"/>
      <c r="T12" s="148"/>
      <c r="U12" s="40">
        <f>IF(Q12-T12=0,0,(Q12-T12)/T12)</f>
        <v>0</v>
      </c>
    </row>
    <row r="13" spans="1:21" s="77" customFormat="1" ht="25.4" customHeight="1">
      <c r="A13" s="50" t="s">
        <v>441</v>
      </c>
      <c r="B13" s="3" t="s">
        <v>368</v>
      </c>
      <c r="C13" s="3"/>
      <c r="D13" s="26" t="s">
        <v>442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146">
        <f t="shared" ref="Q13:Q16" si="0">SUM(E13:P13)</f>
        <v>0</v>
      </c>
      <c r="R13" s="146"/>
      <c r="T13" s="148"/>
      <c r="U13" s="40">
        <f t="shared" ref="U13:U17" si="1">IF(Q13-T13=0,0,(Q13-T13)/T13)</f>
        <v>0</v>
      </c>
    </row>
    <row r="14" spans="1:21" s="77" customFormat="1" ht="25.4" customHeight="1">
      <c r="A14" s="50" t="s">
        <v>443</v>
      </c>
      <c r="B14" s="3" t="s">
        <v>368</v>
      </c>
      <c r="C14" s="3"/>
      <c r="D14" s="26" t="s">
        <v>444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146">
        <f t="shared" si="0"/>
        <v>0</v>
      </c>
      <c r="R14" s="146"/>
      <c r="T14" s="148"/>
      <c r="U14" s="40">
        <f t="shared" si="1"/>
        <v>0</v>
      </c>
    </row>
    <row r="15" spans="1:21" s="77" customFormat="1" ht="25.4" customHeight="1">
      <c r="A15" s="50" t="s">
        <v>445</v>
      </c>
      <c r="B15" s="3" t="s">
        <v>368</v>
      </c>
      <c r="C15" s="3"/>
      <c r="D15" s="26" t="s">
        <v>446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46">
        <f t="shared" si="0"/>
        <v>0</v>
      </c>
      <c r="R15" s="146"/>
      <c r="T15" s="148"/>
      <c r="U15" s="40">
        <f t="shared" si="1"/>
        <v>0</v>
      </c>
    </row>
    <row r="16" spans="1:21" s="77" customFormat="1" ht="25.4" customHeight="1">
      <c r="A16" s="50" t="s">
        <v>447</v>
      </c>
      <c r="B16" s="3" t="s">
        <v>368</v>
      </c>
      <c r="C16" s="3"/>
      <c r="D16" s="26" t="s">
        <v>448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134">
        <f t="shared" si="0"/>
        <v>0</v>
      </c>
      <c r="R16" s="134"/>
      <c r="T16" s="148"/>
      <c r="U16" s="40"/>
    </row>
    <row r="17" spans="1:21" s="77" customFormat="1" ht="25.4" customHeight="1">
      <c r="A17" s="3"/>
      <c r="B17" s="3"/>
      <c r="C17" s="3"/>
      <c r="D17" s="21" t="s">
        <v>397</v>
      </c>
      <c r="E17" s="45">
        <f>SUM(E12:E16)</f>
        <v>0</v>
      </c>
      <c r="F17" s="45">
        <f t="shared" ref="F17:Q17" si="2">SUM(F12:F16)</f>
        <v>0</v>
      </c>
      <c r="G17" s="45">
        <f t="shared" si="2"/>
        <v>0</v>
      </c>
      <c r="H17" s="45">
        <f t="shared" si="2"/>
        <v>0</v>
      </c>
      <c r="I17" s="45">
        <f t="shared" si="2"/>
        <v>0</v>
      </c>
      <c r="J17" s="45">
        <f t="shared" si="2"/>
        <v>0</v>
      </c>
      <c r="K17" s="45">
        <f t="shared" si="2"/>
        <v>0</v>
      </c>
      <c r="L17" s="45">
        <f t="shared" si="2"/>
        <v>0</v>
      </c>
      <c r="M17" s="45">
        <f t="shared" si="2"/>
        <v>0</v>
      </c>
      <c r="N17" s="45">
        <f t="shared" si="2"/>
        <v>0</v>
      </c>
      <c r="O17" s="45">
        <f t="shared" si="2"/>
        <v>0</v>
      </c>
      <c r="P17" s="45">
        <f t="shared" si="2"/>
        <v>0</v>
      </c>
      <c r="Q17" s="45">
        <f t="shared" si="2"/>
        <v>0</v>
      </c>
      <c r="R17" s="45"/>
      <c r="T17" s="148"/>
      <c r="U17" s="40">
        <f t="shared" si="1"/>
        <v>0</v>
      </c>
    </row>
    <row r="18" spans="1:21" s="77" customFormat="1" ht="25.4" customHeight="1">
      <c r="A18" s="3"/>
      <c r="B18" s="3"/>
      <c r="C18" s="3"/>
      <c r="D18" s="26"/>
      <c r="E18" s="106"/>
      <c r="F18" s="24"/>
      <c r="G18" s="106"/>
      <c r="H18" s="106"/>
      <c r="I18" s="106"/>
      <c r="J18" s="106"/>
      <c r="K18" s="106"/>
      <c r="L18" s="106"/>
      <c r="T18" s="148"/>
      <c r="U18" s="40"/>
    </row>
    <row r="19" spans="1:21" s="77" customFormat="1" ht="25.4" customHeight="1">
      <c r="A19" s="3"/>
      <c r="B19" s="3"/>
      <c r="C19" s="3"/>
      <c r="D19" s="21" t="s">
        <v>398</v>
      </c>
      <c r="E19" s="106"/>
      <c r="F19" s="63"/>
      <c r="G19" s="63"/>
      <c r="H19" s="63"/>
      <c r="I19" s="63"/>
      <c r="J19" s="63"/>
      <c r="K19" s="63"/>
      <c r="L19" s="63"/>
      <c r="T19" s="148"/>
      <c r="U19" s="40"/>
    </row>
    <row r="20" spans="1:21" s="77" customFormat="1" ht="25.4" customHeight="1">
      <c r="A20" s="50" t="s">
        <v>449</v>
      </c>
      <c r="B20" s="3" t="s">
        <v>368</v>
      </c>
      <c r="C20" s="3"/>
      <c r="D20" s="26" t="s">
        <v>440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134">
        <f>SUM(E20:P20)</f>
        <v>0</v>
      </c>
      <c r="R20" s="134"/>
      <c r="T20" s="148"/>
      <c r="U20" s="40">
        <f>IF(T20&lt;&gt;0,(Q20-T20)/T20,1)</f>
        <v>1</v>
      </c>
    </row>
    <row r="21" spans="1:21" s="77" customFormat="1" ht="25.4" customHeight="1">
      <c r="A21" s="50" t="s">
        <v>450</v>
      </c>
      <c r="B21" s="3" t="s">
        <v>368</v>
      </c>
      <c r="C21" s="3"/>
      <c r="D21" s="26" t="s">
        <v>442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134">
        <f>SUM(E21:P21)</f>
        <v>0</v>
      </c>
      <c r="R21" s="134"/>
      <c r="T21" s="148"/>
      <c r="U21" s="40">
        <f t="shared" ref="U21:U28" si="3">IF(Q21-T21=0,0,(Q21-T21)/T21)</f>
        <v>0</v>
      </c>
    </row>
    <row r="22" spans="1:21" s="77" customFormat="1" ht="25.4" customHeight="1">
      <c r="A22" s="50" t="s">
        <v>451</v>
      </c>
      <c r="B22" s="3" t="s">
        <v>368</v>
      </c>
      <c r="C22" s="3"/>
      <c r="D22" s="26" t="s">
        <v>444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134">
        <f>SUM(E22:P22)</f>
        <v>0</v>
      </c>
      <c r="R22" s="134"/>
      <c r="T22" s="148"/>
      <c r="U22" s="40">
        <f t="shared" si="3"/>
        <v>0</v>
      </c>
    </row>
    <row r="23" spans="1:21" s="77" customFormat="1" ht="25.4" customHeight="1">
      <c r="A23" s="50" t="s">
        <v>452</v>
      </c>
      <c r="B23" s="3" t="s">
        <v>368</v>
      </c>
      <c r="C23" s="3"/>
      <c r="D23" s="26" t="s">
        <v>446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134">
        <f>SUM(E23:P23)</f>
        <v>0</v>
      </c>
      <c r="R23" s="134"/>
      <c r="T23" s="148"/>
      <c r="U23" s="40">
        <f t="shared" si="3"/>
        <v>0</v>
      </c>
    </row>
    <row r="24" spans="1:21" s="77" customFormat="1" ht="25.4" customHeight="1">
      <c r="A24" s="50" t="s">
        <v>453</v>
      </c>
      <c r="B24" s="3" t="s">
        <v>368</v>
      </c>
      <c r="C24" s="3"/>
      <c r="D24" s="26" t="s">
        <v>448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134">
        <f>SUM(E24:P24)</f>
        <v>0</v>
      </c>
      <c r="R24" s="134"/>
      <c r="T24" s="148"/>
      <c r="U24" s="40"/>
    </row>
    <row r="25" spans="1:21" s="77" customFormat="1" ht="25.4" customHeight="1">
      <c r="A25" s="3"/>
      <c r="B25" s="3"/>
      <c r="C25" s="3"/>
      <c r="D25" s="21" t="s">
        <v>401</v>
      </c>
      <c r="E25" s="45">
        <f>SUM(E20:E24)</f>
        <v>0</v>
      </c>
      <c r="F25" s="45">
        <f t="shared" ref="F25:Q25" si="4">SUM(F20:F24)</f>
        <v>0</v>
      </c>
      <c r="G25" s="45">
        <f t="shared" si="4"/>
        <v>0</v>
      </c>
      <c r="H25" s="45">
        <f t="shared" si="4"/>
        <v>0</v>
      </c>
      <c r="I25" s="45">
        <f t="shared" si="4"/>
        <v>0</v>
      </c>
      <c r="J25" s="45">
        <f t="shared" si="4"/>
        <v>0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5">
        <f t="shared" si="4"/>
        <v>0</v>
      </c>
      <c r="O25" s="45">
        <f t="shared" si="4"/>
        <v>0</v>
      </c>
      <c r="P25" s="45">
        <f t="shared" si="4"/>
        <v>0</v>
      </c>
      <c r="Q25" s="45">
        <f t="shared" si="4"/>
        <v>0</v>
      </c>
      <c r="R25" s="45"/>
      <c r="T25" s="148"/>
      <c r="U25" s="40">
        <f t="shared" si="3"/>
        <v>0</v>
      </c>
    </row>
    <row r="26" spans="1:21" s="77" customFormat="1" ht="25.4" customHeight="1">
      <c r="A26" s="50" t="s">
        <v>407</v>
      </c>
      <c r="B26" s="3" t="s">
        <v>368</v>
      </c>
      <c r="C26" s="3"/>
      <c r="D26" s="26" t="s">
        <v>408</v>
      </c>
      <c r="E26" s="63"/>
      <c r="F26" s="63"/>
      <c r="G26" s="63"/>
      <c r="H26" s="63"/>
      <c r="I26" s="63"/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134">
        <f>SUM(E26:P26)</f>
        <v>0</v>
      </c>
      <c r="R26" s="134"/>
      <c r="T26" s="148"/>
      <c r="U26" s="40">
        <f t="shared" si="3"/>
        <v>0</v>
      </c>
    </row>
    <row r="27" spans="1:21" s="77" customFormat="1" ht="25.4" customHeight="1">
      <c r="A27" s="50" t="s">
        <v>128</v>
      </c>
      <c r="B27" s="3" t="s">
        <v>368</v>
      </c>
      <c r="C27" s="3"/>
      <c r="D27" s="26" t="s">
        <v>409</v>
      </c>
      <c r="E27" s="63">
        <f>+(E17+E25)*0.1</f>
        <v>0</v>
      </c>
      <c r="F27" s="63">
        <f t="shared" ref="F27:P27" si="5">+(F17+F25)*0.1</f>
        <v>0</v>
      </c>
      <c r="G27" s="63">
        <f t="shared" si="5"/>
        <v>0</v>
      </c>
      <c r="H27" s="63">
        <f t="shared" si="5"/>
        <v>0</v>
      </c>
      <c r="I27" s="63">
        <f t="shared" si="5"/>
        <v>0</v>
      </c>
      <c r="J27" s="63">
        <f t="shared" si="5"/>
        <v>0</v>
      </c>
      <c r="K27" s="63">
        <f t="shared" si="5"/>
        <v>0</v>
      </c>
      <c r="L27" s="63">
        <f t="shared" si="5"/>
        <v>0</v>
      </c>
      <c r="M27" s="63">
        <f t="shared" si="5"/>
        <v>0</v>
      </c>
      <c r="N27" s="63">
        <f t="shared" si="5"/>
        <v>0</v>
      </c>
      <c r="O27" s="63">
        <f t="shared" si="5"/>
        <v>0</v>
      </c>
      <c r="P27" s="63">
        <f t="shared" si="5"/>
        <v>0</v>
      </c>
      <c r="Q27" s="134">
        <f>SUM(E27:P27)</f>
        <v>0</v>
      </c>
      <c r="R27" s="134"/>
      <c r="T27" s="148"/>
      <c r="U27" s="40">
        <f t="shared" si="3"/>
        <v>0</v>
      </c>
    </row>
    <row r="28" spans="1:21" s="77" customFormat="1" ht="25.4" customHeight="1">
      <c r="A28" s="50"/>
      <c r="B28" s="3"/>
      <c r="C28" s="3"/>
      <c r="D28" s="21" t="s">
        <v>410</v>
      </c>
      <c r="E28" s="45">
        <f>E17+E25+E26+E27</f>
        <v>0</v>
      </c>
      <c r="F28" s="45">
        <f t="shared" ref="F28:Q28" si="6">F17+F25+F26+F27</f>
        <v>0</v>
      </c>
      <c r="G28" s="45">
        <f t="shared" si="6"/>
        <v>0</v>
      </c>
      <c r="H28" s="45">
        <f t="shared" si="6"/>
        <v>0</v>
      </c>
      <c r="I28" s="45">
        <f t="shared" si="6"/>
        <v>0</v>
      </c>
      <c r="J28" s="45">
        <f t="shared" si="6"/>
        <v>0</v>
      </c>
      <c r="K28" s="45">
        <f t="shared" si="6"/>
        <v>0</v>
      </c>
      <c r="L28" s="45">
        <f t="shared" si="6"/>
        <v>0</v>
      </c>
      <c r="M28" s="45">
        <f t="shared" si="6"/>
        <v>0</v>
      </c>
      <c r="N28" s="45">
        <f t="shared" si="6"/>
        <v>0</v>
      </c>
      <c r="O28" s="45">
        <f t="shared" si="6"/>
        <v>0</v>
      </c>
      <c r="P28" s="45">
        <f t="shared" si="6"/>
        <v>0</v>
      </c>
      <c r="Q28" s="45">
        <f t="shared" si="6"/>
        <v>0</v>
      </c>
      <c r="R28" s="45"/>
      <c r="T28" s="148"/>
      <c r="U28" s="40">
        <f t="shared" si="3"/>
        <v>0</v>
      </c>
    </row>
    <row r="29" spans="1:21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63"/>
      <c r="K29" s="63"/>
      <c r="L29" s="63"/>
      <c r="T29" s="148"/>
      <c r="U29" s="40"/>
    </row>
    <row r="30" spans="1:21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63"/>
      <c r="K30" s="63"/>
      <c r="L30" s="63"/>
      <c r="T30" s="148"/>
      <c r="U30" s="40"/>
    </row>
    <row r="31" spans="1:21" s="77" customFormat="1" ht="25.4" customHeight="1">
      <c r="A31" s="50" t="s">
        <v>412</v>
      </c>
      <c r="B31" s="3" t="s">
        <v>368</v>
      </c>
      <c r="C31" s="3"/>
      <c r="D31" s="26" t="s">
        <v>413</v>
      </c>
      <c r="E31" s="63">
        <f>E17*34%</f>
        <v>0</v>
      </c>
      <c r="F31" s="63">
        <f>F17*34.1%</f>
        <v>0</v>
      </c>
      <c r="G31" s="63">
        <f>G17*33.9%</f>
        <v>0</v>
      </c>
      <c r="H31" s="63">
        <f>H17*32.9%</f>
        <v>0</v>
      </c>
      <c r="I31" s="63">
        <f>I17*34.3%</f>
        <v>0</v>
      </c>
      <c r="J31" s="63">
        <f>J17*33.4%</f>
        <v>0</v>
      </c>
      <c r="K31" s="63">
        <f>K17*33%</f>
        <v>0</v>
      </c>
      <c r="L31" s="63">
        <f>L17*33.66%</f>
        <v>0</v>
      </c>
      <c r="M31" s="63">
        <f>M17*34%</f>
        <v>0</v>
      </c>
      <c r="N31" s="63">
        <f>N17*33.7%</f>
        <v>0</v>
      </c>
      <c r="O31" s="63">
        <f>O17*33.5%</f>
        <v>0</v>
      </c>
      <c r="P31" s="63">
        <f>P17*34.3%</f>
        <v>0</v>
      </c>
      <c r="Q31" s="134">
        <f>SUM(E31:P31)</f>
        <v>0</v>
      </c>
      <c r="R31" s="159" t="e">
        <f>Q31/Q17</f>
        <v>#DIV/0!</v>
      </c>
      <c r="T31" s="148"/>
      <c r="U31" s="40">
        <f>-IF(Q31-T31=0,0,(Q31-T31)/T31)</f>
        <v>0</v>
      </c>
    </row>
    <row r="32" spans="1:21" s="77" customFormat="1" ht="25.4" customHeight="1">
      <c r="A32" s="3" t="s">
        <v>414</v>
      </c>
      <c r="B32" s="3" t="s">
        <v>368</v>
      </c>
      <c r="C32" s="3"/>
      <c r="D32" s="26" t="s">
        <v>415</v>
      </c>
      <c r="E32" s="63">
        <f>E25*22%</f>
        <v>0</v>
      </c>
      <c r="F32" s="63">
        <f>F25*19.5%</f>
        <v>0</v>
      </c>
      <c r="G32" s="63">
        <f>G25*19.5%</f>
        <v>0</v>
      </c>
      <c r="H32" s="63">
        <f>H25*18%</f>
        <v>0</v>
      </c>
      <c r="I32" s="63">
        <f>I25*18%</f>
        <v>0</v>
      </c>
      <c r="J32" s="63">
        <f>J25*18%</f>
        <v>0</v>
      </c>
      <c r="K32" s="63">
        <f>K25*20%</f>
        <v>0</v>
      </c>
      <c r="L32" s="63">
        <f>L25*20%</f>
        <v>0</v>
      </c>
      <c r="M32" s="63">
        <f>M25*18%</f>
        <v>0</v>
      </c>
      <c r="N32" s="63">
        <f>N25*18%</f>
        <v>0</v>
      </c>
      <c r="O32" s="63">
        <f>O25*18.5%</f>
        <v>0</v>
      </c>
      <c r="P32" s="63">
        <f>P25*20%</f>
        <v>0</v>
      </c>
      <c r="Q32" s="134">
        <f>SUM(E32:P32)</f>
        <v>0</v>
      </c>
      <c r="R32" s="159" t="e">
        <f>Q32/Q25</f>
        <v>#DIV/0!</v>
      </c>
      <c r="T32" s="148"/>
      <c r="U32" s="40">
        <f t="shared" ref="U32:U34" si="7">-IF(Q32-T32=0,0,(Q32-T32)/T32)</f>
        <v>0</v>
      </c>
    </row>
    <row r="33" spans="1:21" s="77" customFormat="1" ht="25.4" customHeight="1">
      <c r="A33" s="3" t="s">
        <v>454</v>
      </c>
      <c r="B33" s="3" t="s">
        <v>368</v>
      </c>
      <c r="C33" s="3"/>
      <c r="D33" s="26" t="s">
        <v>419</v>
      </c>
      <c r="E33" s="63"/>
      <c r="F33" s="63"/>
      <c r="G33" s="63"/>
      <c r="H33" s="63"/>
      <c r="I33" s="63"/>
      <c r="J33" s="63"/>
      <c r="K33" s="63"/>
      <c r="L33" s="63"/>
      <c r="M33" s="27">
        <v>0</v>
      </c>
      <c r="N33" s="27">
        <v>0</v>
      </c>
      <c r="O33" s="27">
        <v>0</v>
      </c>
      <c r="P33" s="27">
        <v>0</v>
      </c>
      <c r="Q33" s="134">
        <f>SUM(E33:P33)</f>
        <v>0</v>
      </c>
      <c r="R33" s="159" t="e">
        <f>Q33/Q26</f>
        <v>#DIV/0!</v>
      </c>
      <c r="T33" s="148"/>
      <c r="U33" s="40">
        <f t="shared" si="7"/>
        <v>0</v>
      </c>
    </row>
    <row r="34" spans="1:21" s="77" customFormat="1" ht="25.4" customHeight="1">
      <c r="A34" s="3"/>
      <c r="B34" s="3"/>
      <c r="C34" s="3"/>
      <c r="D34" s="21" t="s">
        <v>420</v>
      </c>
      <c r="E34" s="45">
        <f>+SUM(E31:E33)</f>
        <v>0</v>
      </c>
      <c r="F34" s="45">
        <f t="shared" ref="F34:P34" si="8">+SUM(F31:F33)</f>
        <v>0</v>
      </c>
      <c r="G34" s="45">
        <f t="shared" si="8"/>
        <v>0</v>
      </c>
      <c r="H34" s="45">
        <f t="shared" si="8"/>
        <v>0</v>
      </c>
      <c r="I34" s="45">
        <f t="shared" si="8"/>
        <v>0</v>
      </c>
      <c r="J34" s="45">
        <f t="shared" si="8"/>
        <v>0</v>
      </c>
      <c r="K34" s="45">
        <f t="shared" si="8"/>
        <v>0</v>
      </c>
      <c r="L34" s="45">
        <f t="shared" si="8"/>
        <v>0</v>
      </c>
      <c r="M34" s="45">
        <f t="shared" si="8"/>
        <v>0</v>
      </c>
      <c r="N34" s="45">
        <f t="shared" si="8"/>
        <v>0</v>
      </c>
      <c r="O34" s="45">
        <f t="shared" si="8"/>
        <v>0</v>
      </c>
      <c r="P34" s="45">
        <f t="shared" si="8"/>
        <v>0</v>
      </c>
      <c r="Q34" s="45">
        <f>SUM(Q31:Q33)</f>
        <v>0</v>
      </c>
      <c r="R34" s="149" t="e">
        <f>Q34/$Q$28</f>
        <v>#DIV/0!</v>
      </c>
      <c r="T34" s="148"/>
      <c r="U34" s="40">
        <f t="shared" si="7"/>
        <v>0</v>
      </c>
    </row>
    <row r="35" spans="1:21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63"/>
      <c r="K35" s="63"/>
      <c r="L35" s="63"/>
      <c r="Q35" s="150"/>
      <c r="T35" s="148"/>
      <c r="U35" s="40"/>
    </row>
    <row r="36" spans="1:21" s="77" customFormat="1" ht="25.4" customHeight="1">
      <c r="A36" s="3" t="s">
        <v>106</v>
      </c>
      <c r="B36" s="3" t="s">
        <v>368</v>
      </c>
      <c r="C36" s="3"/>
      <c r="D36" s="21" t="s">
        <v>139</v>
      </c>
      <c r="E36" s="45">
        <f>+E163</f>
        <v>0</v>
      </c>
      <c r="F36" s="45">
        <f t="shared" ref="F36:P36" si="9">+F163</f>
        <v>0</v>
      </c>
      <c r="G36" s="45">
        <f t="shared" si="9"/>
        <v>0</v>
      </c>
      <c r="H36" s="45">
        <f t="shared" si="9"/>
        <v>0</v>
      </c>
      <c r="I36" s="45">
        <f t="shared" si="9"/>
        <v>0</v>
      </c>
      <c r="J36" s="45">
        <f t="shared" si="9"/>
        <v>0</v>
      </c>
      <c r="K36" s="45">
        <f t="shared" si="9"/>
        <v>0</v>
      </c>
      <c r="L36" s="45">
        <f t="shared" si="9"/>
        <v>0</v>
      </c>
      <c r="M36" s="45">
        <f t="shared" si="9"/>
        <v>0</v>
      </c>
      <c r="N36" s="45">
        <f t="shared" si="9"/>
        <v>0</v>
      </c>
      <c r="O36" s="45">
        <f t="shared" si="9"/>
        <v>0</v>
      </c>
      <c r="P36" s="45">
        <f t="shared" si="9"/>
        <v>0</v>
      </c>
      <c r="Q36" s="45">
        <f>SUM(E36:P36)</f>
        <v>0</v>
      </c>
      <c r="R36" s="149" t="e">
        <f>Q36/$Q$28</f>
        <v>#DIV/0!</v>
      </c>
      <c r="T36" s="148"/>
      <c r="U36" s="40">
        <f>-IF(Q36-T36=0,0,(Q36-T36)/T36)</f>
        <v>0</v>
      </c>
    </row>
    <row r="37" spans="1:21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63"/>
      <c r="K37" s="63"/>
      <c r="L37" s="63"/>
      <c r="T37" s="148"/>
      <c r="U37" s="40"/>
    </row>
    <row r="38" spans="1:21" s="77" customFormat="1" ht="25.4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63"/>
      <c r="K38" s="63"/>
      <c r="L38" s="63"/>
      <c r="R38" s="34" t="s">
        <v>421</v>
      </c>
      <c r="T38" s="148"/>
      <c r="U38" s="40"/>
    </row>
    <row r="39" spans="1:21" s="77" customFormat="1" ht="25.4" customHeight="1">
      <c r="A39" s="3" t="s">
        <v>142</v>
      </c>
      <c r="B39" s="3" t="s">
        <v>368</v>
      </c>
      <c r="C39" s="3"/>
      <c r="D39" s="26" t="s">
        <v>143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134">
        <f>SUM(E39:P39)</f>
        <v>0</v>
      </c>
      <c r="R39" s="134" t="e">
        <f>Q39/$Q$117</f>
        <v>#DIV/0!</v>
      </c>
      <c r="T39" s="148"/>
      <c r="U39" s="40">
        <f t="shared" ref="U39:U46" si="10">IF(T39&lt;&gt;0,(Q39-T39)/T39,1)</f>
        <v>1</v>
      </c>
    </row>
    <row r="40" spans="1:21" s="77" customFormat="1" ht="25.4" customHeight="1">
      <c r="A40" s="3" t="s">
        <v>144</v>
      </c>
      <c r="B40" s="3" t="s">
        <v>368</v>
      </c>
      <c r="C40" s="3"/>
      <c r="D40" s="26" t="s">
        <v>145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134">
        <f t="shared" ref="Q40:Q103" si="11">SUM(E40:P40)</f>
        <v>0</v>
      </c>
      <c r="R40" s="134" t="e">
        <f t="shared" ref="R40:R103" si="12">Q40/$Q$117</f>
        <v>#DIV/0!</v>
      </c>
      <c r="T40" s="148"/>
      <c r="U40" s="40">
        <f t="shared" si="10"/>
        <v>1</v>
      </c>
    </row>
    <row r="41" spans="1:21" s="77" customFormat="1" ht="25.4" customHeight="1">
      <c r="A41" s="3" t="s">
        <v>146</v>
      </c>
      <c r="B41" s="3" t="s">
        <v>368</v>
      </c>
      <c r="C41" s="3"/>
      <c r="D41" s="26" t="s">
        <v>147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134">
        <f t="shared" si="11"/>
        <v>0</v>
      </c>
      <c r="R41" s="134" t="e">
        <f t="shared" si="12"/>
        <v>#DIV/0!</v>
      </c>
      <c r="T41" s="148"/>
      <c r="U41" s="40">
        <f t="shared" si="10"/>
        <v>1</v>
      </c>
    </row>
    <row r="42" spans="1:21" s="77" customFormat="1" ht="25.4" customHeight="1">
      <c r="A42" s="3" t="s">
        <v>148</v>
      </c>
      <c r="B42" s="3" t="s">
        <v>368</v>
      </c>
      <c r="C42" s="3"/>
      <c r="D42" s="26" t="s">
        <v>149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134">
        <f t="shared" si="11"/>
        <v>0</v>
      </c>
      <c r="R42" s="134" t="e">
        <f t="shared" si="12"/>
        <v>#DIV/0!</v>
      </c>
      <c r="T42" s="148"/>
      <c r="U42" s="40">
        <f t="shared" si="10"/>
        <v>1</v>
      </c>
    </row>
    <row r="43" spans="1:21" s="77" customFormat="1" ht="25.4" customHeight="1">
      <c r="A43" s="3" t="s">
        <v>150</v>
      </c>
      <c r="B43" s="3" t="s">
        <v>368</v>
      </c>
      <c r="C43" s="3"/>
      <c r="D43" s="26" t="s">
        <v>151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134">
        <f t="shared" si="11"/>
        <v>0</v>
      </c>
      <c r="R43" s="134" t="e">
        <f t="shared" si="12"/>
        <v>#DIV/0!</v>
      </c>
      <c r="T43" s="148"/>
      <c r="U43" s="40">
        <f t="shared" si="10"/>
        <v>1</v>
      </c>
    </row>
    <row r="44" spans="1:21" s="77" customFormat="1" ht="25.4" customHeight="1">
      <c r="A44" s="3" t="s">
        <v>152</v>
      </c>
      <c r="B44" s="3" t="s">
        <v>368</v>
      </c>
      <c r="C44" s="3"/>
      <c r="D44" s="26" t="s">
        <v>153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134">
        <f t="shared" si="11"/>
        <v>0</v>
      </c>
      <c r="R44" s="134" t="e">
        <f t="shared" si="12"/>
        <v>#DIV/0!</v>
      </c>
      <c r="T44" s="148"/>
      <c r="U44" s="40">
        <f t="shared" si="10"/>
        <v>1</v>
      </c>
    </row>
    <row r="45" spans="1:21" s="77" customFormat="1" ht="25.4" customHeight="1">
      <c r="A45" s="3" t="s">
        <v>154</v>
      </c>
      <c r="B45" s="3" t="s">
        <v>368</v>
      </c>
      <c r="C45" s="3"/>
      <c r="D45" s="26" t="s">
        <v>155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134">
        <f t="shared" si="11"/>
        <v>0</v>
      </c>
      <c r="R45" s="134" t="e">
        <f t="shared" si="12"/>
        <v>#DIV/0!</v>
      </c>
      <c r="T45" s="148"/>
      <c r="U45" s="40">
        <f t="shared" si="10"/>
        <v>1</v>
      </c>
    </row>
    <row r="46" spans="1:21" s="77" customFormat="1" ht="25.4" customHeight="1">
      <c r="A46" s="3" t="s">
        <v>156</v>
      </c>
      <c r="B46" s="3" t="s">
        <v>368</v>
      </c>
      <c r="C46" s="3"/>
      <c r="D46" s="26" t="s">
        <v>157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134">
        <f t="shared" si="11"/>
        <v>0</v>
      </c>
      <c r="R46" s="134" t="e">
        <f t="shared" si="12"/>
        <v>#DIV/0!</v>
      </c>
      <c r="T46" s="148"/>
      <c r="U46" s="40">
        <f t="shared" si="10"/>
        <v>1</v>
      </c>
    </row>
    <row r="47" spans="1:21" s="77" customFormat="1" ht="25.4" customHeight="1">
      <c r="A47" s="3" t="s">
        <v>158</v>
      </c>
      <c r="B47" s="3" t="s">
        <v>368</v>
      </c>
      <c r="C47" s="3"/>
      <c r="D47" s="26" t="s">
        <v>159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134">
        <f t="shared" si="11"/>
        <v>0</v>
      </c>
      <c r="R47" s="134" t="e">
        <f t="shared" si="12"/>
        <v>#DIV/0!</v>
      </c>
      <c r="T47" s="148"/>
      <c r="U47" s="40">
        <f>-IF(Q47-T47=0,0,(Q47-T47)/T47)</f>
        <v>0</v>
      </c>
    </row>
    <row r="48" spans="1:21" s="77" customFormat="1" ht="25.4" customHeight="1">
      <c r="A48" s="3" t="s">
        <v>160</v>
      </c>
      <c r="B48" s="3" t="s">
        <v>368</v>
      </c>
      <c r="C48" s="3"/>
      <c r="D48" s="26" t="s">
        <v>161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134">
        <f t="shared" si="11"/>
        <v>0</v>
      </c>
      <c r="R48" s="134" t="e">
        <f t="shared" si="12"/>
        <v>#DIV/0!</v>
      </c>
      <c r="T48" s="148"/>
      <c r="U48" s="40">
        <f t="shared" ref="U48:U108" si="13">-IF(Q48-T48=0,0,(Q48-T48)/T48)</f>
        <v>0</v>
      </c>
    </row>
    <row r="49" spans="1:21" s="77" customFormat="1" ht="24.75" customHeight="1">
      <c r="A49" s="3" t="s">
        <v>162</v>
      </c>
      <c r="B49" s="3" t="s">
        <v>368</v>
      </c>
      <c r="C49" s="3"/>
      <c r="D49" s="26" t="s">
        <v>163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134">
        <f t="shared" si="11"/>
        <v>0</v>
      </c>
      <c r="R49" s="134" t="e">
        <f t="shared" si="12"/>
        <v>#DIV/0!</v>
      </c>
      <c r="T49" s="148"/>
      <c r="U49" s="40">
        <f t="shared" si="13"/>
        <v>0</v>
      </c>
    </row>
    <row r="50" spans="1:21" s="77" customFormat="1" ht="25.4" customHeight="1">
      <c r="A50" s="3" t="s">
        <v>164</v>
      </c>
      <c r="B50" s="3" t="s">
        <v>368</v>
      </c>
      <c r="C50" s="3"/>
      <c r="D50" s="26" t="s">
        <v>165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134">
        <f t="shared" si="11"/>
        <v>0</v>
      </c>
      <c r="R50" s="134" t="e">
        <f t="shared" si="12"/>
        <v>#DIV/0!</v>
      </c>
      <c r="T50" s="148"/>
      <c r="U50" s="40"/>
    </row>
    <row r="51" spans="1:21" s="77" customFormat="1" ht="24.75" customHeight="1">
      <c r="A51" s="3" t="s">
        <v>166</v>
      </c>
      <c r="B51" s="3" t="s">
        <v>368</v>
      </c>
      <c r="C51" s="3"/>
      <c r="D51" s="26" t="s">
        <v>167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134">
        <f t="shared" si="11"/>
        <v>0</v>
      </c>
      <c r="R51" s="134" t="e">
        <f t="shared" si="12"/>
        <v>#DIV/0!</v>
      </c>
      <c r="T51" s="148"/>
      <c r="U51" s="40">
        <f t="shared" si="13"/>
        <v>0</v>
      </c>
    </row>
    <row r="52" spans="1:21" s="77" customFormat="1" ht="25.4" customHeight="1">
      <c r="A52" s="3" t="s">
        <v>168</v>
      </c>
      <c r="B52" s="3" t="s">
        <v>368</v>
      </c>
      <c r="C52" s="3"/>
      <c r="D52" s="26" t="s">
        <v>169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134">
        <f t="shared" si="11"/>
        <v>0</v>
      </c>
      <c r="R52" s="134" t="e">
        <f t="shared" si="12"/>
        <v>#DIV/0!</v>
      </c>
      <c r="T52" s="148"/>
      <c r="U52" s="40">
        <f t="shared" si="13"/>
        <v>0</v>
      </c>
    </row>
    <row r="53" spans="1:21" s="77" customFormat="1" ht="25.4" customHeight="1">
      <c r="A53" s="3" t="s">
        <v>170</v>
      </c>
      <c r="B53" s="3" t="s">
        <v>368</v>
      </c>
      <c r="C53" s="3"/>
      <c r="D53" s="26" t="s">
        <v>171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134">
        <f t="shared" si="11"/>
        <v>0</v>
      </c>
      <c r="R53" s="134" t="e">
        <f t="shared" si="12"/>
        <v>#DIV/0!</v>
      </c>
      <c r="T53" s="148"/>
      <c r="U53" s="40">
        <f t="shared" si="13"/>
        <v>0</v>
      </c>
    </row>
    <row r="54" spans="1:21" s="77" customFormat="1" ht="25.4" customHeight="1">
      <c r="A54" s="3" t="s">
        <v>172</v>
      </c>
      <c r="B54" s="3" t="s">
        <v>368</v>
      </c>
      <c r="C54" s="3"/>
      <c r="D54" s="26" t="s">
        <v>173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134">
        <f t="shared" si="11"/>
        <v>0</v>
      </c>
      <c r="R54" s="134" t="e">
        <f t="shared" si="12"/>
        <v>#DIV/0!</v>
      </c>
      <c r="T54" s="148"/>
      <c r="U54" s="40">
        <f t="shared" si="13"/>
        <v>0</v>
      </c>
    </row>
    <row r="55" spans="1:21" s="77" customFormat="1" ht="25.4" customHeight="1">
      <c r="A55" s="3" t="s">
        <v>174</v>
      </c>
      <c r="B55" s="3" t="s">
        <v>368</v>
      </c>
      <c r="C55" s="3"/>
      <c r="D55" s="26" t="s">
        <v>175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134">
        <f t="shared" si="11"/>
        <v>0</v>
      </c>
      <c r="R55" s="134" t="e">
        <f t="shared" si="12"/>
        <v>#DIV/0!</v>
      </c>
      <c r="T55" s="148"/>
      <c r="U55" s="40">
        <f t="shared" si="13"/>
        <v>0</v>
      </c>
    </row>
    <row r="56" spans="1:21" s="77" customFormat="1" ht="25.4" customHeight="1">
      <c r="A56" s="3" t="s">
        <v>176</v>
      </c>
      <c r="B56" s="3" t="s">
        <v>368</v>
      </c>
      <c r="C56" s="3"/>
      <c r="D56" s="26" t="s">
        <v>177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34">
        <f t="shared" si="11"/>
        <v>0</v>
      </c>
      <c r="R56" s="134" t="e">
        <f t="shared" si="12"/>
        <v>#DIV/0!</v>
      </c>
      <c r="T56" s="148"/>
      <c r="U56" s="40">
        <f t="shared" si="13"/>
        <v>0</v>
      </c>
    </row>
    <row r="57" spans="1:21" s="77" customFormat="1" ht="25.4" customHeight="1">
      <c r="A57" s="3" t="s">
        <v>178</v>
      </c>
      <c r="B57" s="3" t="s">
        <v>368</v>
      </c>
      <c r="C57" s="3"/>
      <c r="D57" s="26" t="s">
        <v>179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34">
        <f t="shared" si="11"/>
        <v>0</v>
      </c>
      <c r="R57" s="134" t="e">
        <f t="shared" si="12"/>
        <v>#DIV/0!</v>
      </c>
      <c r="T57" s="148"/>
      <c r="U57" s="40">
        <f t="shared" si="13"/>
        <v>0</v>
      </c>
    </row>
    <row r="58" spans="1:21" s="77" customFormat="1" ht="25.4" customHeight="1">
      <c r="A58" s="3" t="s">
        <v>180</v>
      </c>
      <c r="B58" s="3" t="s">
        <v>368</v>
      </c>
      <c r="C58" s="3"/>
      <c r="D58" s="26" t="s">
        <v>181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134">
        <f t="shared" si="11"/>
        <v>0</v>
      </c>
      <c r="R58" s="134" t="e">
        <f t="shared" si="12"/>
        <v>#DIV/0!</v>
      </c>
      <c r="T58" s="148"/>
      <c r="U58" s="40">
        <f t="shared" si="13"/>
        <v>0</v>
      </c>
    </row>
    <row r="59" spans="1:21" s="77" customFormat="1" ht="25.4" customHeight="1">
      <c r="A59" s="3" t="s">
        <v>182</v>
      </c>
      <c r="B59" s="3" t="s">
        <v>368</v>
      </c>
      <c r="C59" s="3"/>
      <c r="D59" s="26" t="s">
        <v>183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134">
        <f t="shared" si="11"/>
        <v>0</v>
      </c>
      <c r="R59" s="134" t="e">
        <f t="shared" si="12"/>
        <v>#DIV/0!</v>
      </c>
      <c r="T59" s="148"/>
      <c r="U59" s="40"/>
    </row>
    <row r="60" spans="1:21" s="77" customFormat="1" ht="25.4" customHeight="1">
      <c r="A60" s="3" t="s">
        <v>184</v>
      </c>
      <c r="B60" s="3" t="s">
        <v>368</v>
      </c>
      <c r="C60" s="3"/>
      <c r="D60" s="26" t="s">
        <v>185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134">
        <f t="shared" si="11"/>
        <v>0</v>
      </c>
      <c r="R60" s="134" t="e">
        <f t="shared" si="12"/>
        <v>#DIV/0!</v>
      </c>
      <c r="T60" s="148"/>
      <c r="U60" s="40">
        <f t="shared" si="13"/>
        <v>0</v>
      </c>
    </row>
    <row r="61" spans="1:21" s="77" customFormat="1" ht="25.4" customHeight="1">
      <c r="A61" s="3" t="s">
        <v>186</v>
      </c>
      <c r="B61" s="3" t="s">
        <v>368</v>
      </c>
      <c r="C61" s="3"/>
      <c r="D61" s="26" t="s">
        <v>187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134">
        <f t="shared" si="11"/>
        <v>0</v>
      </c>
      <c r="R61" s="134" t="e">
        <f t="shared" si="12"/>
        <v>#DIV/0!</v>
      </c>
      <c r="T61" s="148"/>
      <c r="U61" s="40">
        <f t="shared" si="13"/>
        <v>0</v>
      </c>
    </row>
    <row r="62" spans="1:21" s="77" customFormat="1" ht="25.4" customHeight="1">
      <c r="A62" s="3" t="s">
        <v>188</v>
      </c>
      <c r="B62" s="3" t="s">
        <v>368</v>
      </c>
      <c r="C62" s="3"/>
      <c r="D62" s="26" t="s">
        <v>189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134">
        <f t="shared" si="11"/>
        <v>0</v>
      </c>
      <c r="R62" s="134" t="e">
        <f t="shared" si="12"/>
        <v>#DIV/0!</v>
      </c>
      <c r="T62" s="148"/>
      <c r="U62" s="40">
        <f t="shared" si="13"/>
        <v>0</v>
      </c>
    </row>
    <row r="63" spans="1:21" s="77" customFormat="1" ht="25.4" customHeight="1">
      <c r="A63" s="3" t="s">
        <v>190</v>
      </c>
      <c r="B63" s="3" t="s">
        <v>368</v>
      </c>
      <c r="C63" s="3"/>
      <c r="D63" s="26" t="s">
        <v>191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134">
        <f t="shared" si="11"/>
        <v>0</v>
      </c>
      <c r="R63" s="134" t="e">
        <f t="shared" si="12"/>
        <v>#DIV/0!</v>
      </c>
      <c r="T63" s="148"/>
      <c r="U63" s="40">
        <f t="shared" si="13"/>
        <v>0</v>
      </c>
    </row>
    <row r="64" spans="1:21" s="77" customFormat="1" ht="25.4" customHeight="1">
      <c r="A64" s="3" t="s">
        <v>192</v>
      </c>
      <c r="B64" s="3" t="s">
        <v>368</v>
      </c>
      <c r="C64" s="3"/>
      <c r="D64" s="26" t="s">
        <v>193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134">
        <f t="shared" si="11"/>
        <v>0</v>
      </c>
      <c r="R64" s="134" t="e">
        <f t="shared" si="12"/>
        <v>#DIV/0!</v>
      </c>
      <c r="T64" s="148"/>
      <c r="U64" s="40">
        <f t="shared" si="13"/>
        <v>0</v>
      </c>
    </row>
    <row r="65" spans="1:21" s="77" customFormat="1" ht="25.4" customHeight="1">
      <c r="A65" s="3" t="s">
        <v>194</v>
      </c>
      <c r="B65" s="3" t="s">
        <v>368</v>
      </c>
      <c r="C65" s="3"/>
      <c r="D65" s="26" t="s">
        <v>195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134">
        <f t="shared" si="11"/>
        <v>0</v>
      </c>
      <c r="R65" s="134" t="e">
        <f t="shared" si="12"/>
        <v>#DIV/0!</v>
      </c>
      <c r="T65" s="148"/>
      <c r="U65" s="40"/>
    </row>
    <row r="66" spans="1:21" s="77" customFormat="1" ht="25.4" customHeight="1">
      <c r="A66" s="3" t="s">
        <v>196</v>
      </c>
      <c r="B66" s="3" t="s">
        <v>368</v>
      </c>
      <c r="C66" s="3"/>
      <c r="D66" s="26" t="s">
        <v>197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134">
        <f t="shared" si="11"/>
        <v>0</v>
      </c>
      <c r="R66" s="134" t="e">
        <f t="shared" si="12"/>
        <v>#DIV/0!</v>
      </c>
      <c r="T66" s="148"/>
      <c r="U66" s="40">
        <f t="shared" si="13"/>
        <v>0</v>
      </c>
    </row>
    <row r="67" spans="1:21" s="77" customFormat="1" ht="25.4" customHeight="1">
      <c r="A67" s="3" t="s">
        <v>198</v>
      </c>
      <c r="B67" s="3" t="s">
        <v>368</v>
      </c>
      <c r="C67" s="3"/>
      <c r="D67" s="26" t="s">
        <v>199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134">
        <f t="shared" si="11"/>
        <v>0</v>
      </c>
      <c r="R67" s="134" t="e">
        <f t="shared" si="12"/>
        <v>#DIV/0!</v>
      </c>
      <c r="T67" s="148"/>
      <c r="U67" s="40">
        <f t="shared" si="13"/>
        <v>0</v>
      </c>
    </row>
    <row r="68" spans="1:21" s="77" customFormat="1" ht="25.4" customHeight="1">
      <c r="A68" s="3" t="s">
        <v>200</v>
      </c>
      <c r="B68" s="3" t="s">
        <v>368</v>
      </c>
      <c r="C68" s="3"/>
      <c r="D68" s="26" t="s">
        <v>201</v>
      </c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134">
        <f t="shared" si="11"/>
        <v>0</v>
      </c>
      <c r="R68" s="134" t="e">
        <f t="shared" si="12"/>
        <v>#DIV/0!</v>
      </c>
      <c r="T68" s="148"/>
      <c r="U68" s="40">
        <f t="shared" si="13"/>
        <v>0</v>
      </c>
    </row>
    <row r="69" spans="1:21" s="77" customFormat="1" ht="25.4" customHeight="1">
      <c r="A69" s="3" t="s">
        <v>202</v>
      </c>
      <c r="B69" s="3" t="s">
        <v>368</v>
      </c>
      <c r="C69" s="3"/>
      <c r="D69" s="26" t="s">
        <v>203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134">
        <f t="shared" si="11"/>
        <v>0</v>
      </c>
      <c r="R69" s="134" t="e">
        <f t="shared" si="12"/>
        <v>#DIV/0!</v>
      </c>
      <c r="T69" s="148"/>
      <c r="U69" s="40">
        <f t="shared" si="13"/>
        <v>0</v>
      </c>
    </row>
    <row r="70" spans="1:21" s="77" customFormat="1" ht="25.4" customHeight="1">
      <c r="A70" s="3" t="s">
        <v>204</v>
      </c>
      <c r="B70" s="3" t="s">
        <v>368</v>
      </c>
      <c r="C70" s="3"/>
      <c r="D70" s="26" t="s">
        <v>205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134">
        <f t="shared" si="11"/>
        <v>0</v>
      </c>
      <c r="R70" s="134" t="e">
        <f t="shared" si="12"/>
        <v>#DIV/0!</v>
      </c>
      <c r="T70" s="148"/>
      <c r="U70" s="40">
        <f t="shared" si="13"/>
        <v>0</v>
      </c>
    </row>
    <row r="71" spans="1:21" s="77" customFormat="1" ht="25.4" customHeight="1">
      <c r="A71" s="3" t="s">
        <v>206</v>
      </c>
      <c r="B71" s="3" t="s">
        <v>368</v>
      </c>
      <c r="C71" s="3"/>
      <c r="D71" s="26" t="s">
        <v>207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134">
        <f t="shared" si="11"/>
        <v>0</v>
      </c>
      <c r="R71" s="134" t="e">
        <f t="shared" si="12"/>
        <v>#DIV/0!</v>
      </c>
      <c r="T71" s="148"/>
      <c r="U71" s="40">
        <f t="shared" si="13"/>
        <v>0</v>
      </c>
    </row>
    <row r="72" spans="1:21" s="77" customFormat="1" ht="24.75" customHeight="1">
      <c r="A72" s="3" t="s">
        <v>208</v>
      </c>
      <c r="B72" s="3" t="s">
        <v>368</v>
      </c>
      <c r="C72" s="3"/>
      <c r="D72" s="26" t="s">
        <v>209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134">
        <f t="shared" si="11"/>
        <v>0</v>
      </c>
      <c r="R72" s="134" t="e">
        <f t="shared" si="12"/>
        <v>#DIV/0!</v>
      </c>
      <c r="T72" s="148"/>
      <c r="U72" s="40">
        <f t="shared" si="13"/>
        <v>0</v>
      </c>
    </row>
    <row r="73" spans="1:21" s="77" customFormat="1" ht="25.4" customHeight="1">
      <c r="A73" s="3" t="s">
        <v>210</v>
      </c>
      <c r="B73" s="3" t="s">
        <v>368</v>
      </c>
      <c r="C73" s="3"/>
      <c r="D73" s="26" t="s">
        <v>211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134">
        <f t="shared" si="11"/>
        <v>0</v>
      </c>
      <c r="R73" s="134" t="e">
        <f t="shared" si="12"/>
        <v>#DIV/0!</v>
      </c>
      <c r="T73" s="148"/>
      <c r="U73" s="40">
        <f t="shared" si="13"/>
        <v>0</v>
      </c>
    </row>
    <row r="74" spans="1:21" s="77" customFormat="1" ht="25.4" customHeight="1">
      <c r="A74" s="3" t="s">
        <v>212</v>
      </c>
      <c r="B74" s="3" t="s">
        <v>368</v>
      </c>
      <c r="C74" s="3"/>
      <c r="D74" s="26" t="s">
        <v>213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134">
        <f t="shared" si="11"/>
        <v>0</v>
      </c>
      <c r="R74" s="134" t="e">
        <f t="shared" si="12"/>
        <v>#DIV/0!</v>
      </c>
      <c r="T74" s="148"/>
      <c r="U74" s="40">
        <f t="shared" si="13"/>
        <v>0</v>
      </c>
    </row>
    <row r="75" spans="1:21" s="77" customFormat="1" ht="25.4" customHeight="1">
      <c r="A75" s="3" t="s">
        <v>214</v>
      </c>
      <c r="B75" s="3" t="s">
        <v>368</v>
      </c>
      <c r="C75" s="3"/>
      <c r="D75" s="26" t="s">
        <v>215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134">
        <f t="shared" si="11"/>
        <v>0</v>
      </c>
      <c r="R75" s="134" t="e">
        <f t="shared" si="12"/>
        <v>#DIV/0!</v>
      </c>
      <c r="T75" s="148"/>
      <c r="U75" s="40">
        <f t="shared" si="13"/>
        <v>0</v>
      </c>
    </row>
    <row r="76" spans="1:21" s="77" customFormat="1" ht="25.4" customHeight="1">
      <c r="A76" s="3" t="s">
        <v>216</v>
      </c>
      <c r="B76" s="3" t="s">
        <v>368</v>
      </c>
      <c r="C76" s="3"/>
      <c r="D76" s="26" t="s">
        <v>217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134">
        <f t="shared" si="11"/>
        <v>0</v>
      </c>
      <c r="R76" s="134" t="e">
        <f t="shared" si="12"/>
        <v>#DIV/0!</v>
      </c>
      <c r="T76" s="148"/>
      <c r="U76" s="40">
        <f t="shared" si="13"/>
        <v>0</v>
      </c>
    </row>
    <row r="77" spans="1:21" s="77" customFormat="1" ht="25.4" customHeight="1">
      <c r="A77" s="3" t="s">
        <v>218</v>
      </c>
      <c r="B77" s="3" t="s">
        <v>368</v>
      </c>
      <c r="C77" s="3"/>
      <c r="D77" s="26" t="s">
        <v>219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134">
        <f t="shared" si="11"/>
        <v>0</v>
      </c>
      <c r="R77" s="134" t="e">
        <f t="shared" si="12"/>
        <v>#DIV/0!</v>
      </c>
      <c r="T77" s="148"/>
      <c r="U77" s="40">
        <f t="shared" si="13"/>
        <v>0</v>
      </c>
    </row>
    <row r="78" spans="1:21" s="77" customFormat="1" ht="25.4" customHeight="1">
      <c r="A78" s="3" t="s">
        <v>220</v>
      </c>
      <c r="B78" s="3" t="s">
        <v>368</v>
      </c>
      <c r="C78" s="3"/>
      <c r="D78" s="26" t="s">
        <v>221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134">
        <f t="shared" si="11"/>
        <v>0</v>
      </c>
      <c r="R78" s="134" t="e">
        <f t="shared" si="12"/>
        <v>#DIV/0!</v>
      </c>
      <c r="T78" s="148"/>
      <c r="U78" s="40">
        <f t="shared" si="13"/>
        <v>0</v>
      </c>
    </row>
    <row r="79" spans="1:21" s="77" customFormat="1" ht="25.4" customHeight="1">
      <c r="A79" s="3" t="s">
        <v>222</v>
      </c>
      <c r="B79" s="3" t="s">
        <v>368</v>
      </c>
      <c r="C79" s="3"/>
      <c r="D79" s="26" t="s">
        <v>223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134">
        <f t="shared" si="11"/>
        <v>0</v>
      </c>
      <c r="R79" s="134" t="e">
        <f t="shared" si="12"/>
        <v>#DIV/0!</v>
      </c>
      <c r="T79" s="148"/>
      <c r="U79" s="40">
        <f t="shared" si="13"/>
        <v>0</v>
      </c>
    </row>
    <row r="80" spans="1:21" s="77" customFormat="1" ht="25.4" customHeight="1">
      <c r="A80" s="3" t="s">
        <v>224</v>
      </c>
      <c r="B80" s="3" t="s">
        <v>368</v>
      </c>
      <c r="C80" s="3"/>
      <c r="D80" s="26" t="s">
        <v>225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134">
        <f t="shared" si="11"/>
        <v>0</v>
      </c>
      <c r="R80" s="134" t="e">
        <f t="shared" si="12"/>
        <v>#DIV/0!</v>
      </c>
      <c r="T80" s="148"/>
      <c r="U80" s="40">
        <f t="shared" si="13"/>
        <v>0</v>
      </c>
    </row>
    <row r="81" spans="1:21" s="77" customFormat="1" ht="25.4" customHeight="1">
      <c r="A81" s="3" t="s">
        <v>226</v>
      </c>
      <c r="B81" s="3" t="s">
        <v>368</v>
      </c>
      <c r="C81" s="3"/>
      <c r="D81" s="26" t="s">
        <v>227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134">
        <f t="shared" si="11"/>
        <v>0</v>
      </c>
      <c r="R81" s="134" t="e">
        <f t="shared" si="12"/>
        <v>#DIV/0!</v>
      </c>
      <c r="T81" s="148"/>
      <c r="U81" s="40">
        <f t="shared" si="13"/>
        <v>0</v>
      </c>
    </row>
    <row r="82" spans="1:21" s="77" customFormat="1" ht="24.75" customHeight="1">
      <c r="A82" s="3" t="s">
        <v>228</v>
      </c>
      <c r="B82" s="3" t="s">
        <v>368</v>
      </c>
      <c r="C82" s="3"/>
      <c r="D82" s="26" t="s">
        <v>229</v>
      </c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134">
        <f t="shared" si="11"/>
        <v>0</v>
      </c>
      <c r="R82" s="134" t="e">
        <f t="shared" si="12"/>
        <v>#DIV/0!</v>
      </c>
      <c r="T82" s="148"/>
      <c r="U82" s="40">
        <f t="shared" si="13"/>
        <v>0</v>
      </c>
    </row>
    <row r="83" spans="1:21" s="77" customFormat="1" ht="25.4" customHeight="1">
      <c r="A83" s="3" t="s">
        <v>230</v>
      </c>
      <c r="B83" s="3" t="s">
        <v>368</v>
      </c>
      <c r="C83" s="3"/>
      <c r="D83" s="26" t="s">
        <v>231</v>
      </c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134">
        <f t="shared" si="11"/>
        <v>0</v>
      </c>
      <c r="R83" s="134" t="e">
        <f t="shared" si="12"/>
        <v>#DIV/0!</v>
      </c>
      <c r="T83" s="148"/>
      <c r="U83" s="40">
        <f t="shared" si="13"/>
        <v>0</v>
      </c>
    </row>
    <row r="84" spans="1:21" s="77" customFormat="1" ht="25.4" customHeight="1">
      <c r="A84" s="3" t="s">
        <v>232</v>
      </c>
      <c r="B84" s="3" t="s">
        <v>368</v>
      </c>
      <c r="C84" s="3"/>
      <c r="D84" s="26" t="s">
        <v>233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134">
        <f t="shared" si="11"/>
        <v>0</v>
      </c>
      <c r="R84" s="134" t="e">
        <f t="shared" si="12"/>
        <v>#DIV/0!</v>
      </c>
      <c r="T84" s="148"/>
      <c r="U84" s="40">
        <f t="shared" si="13"/>
        <v>0</v>
      </c>
    </row>
    <row r="85" spans="1:21" s="77" customFormat="1" ht="25.4" customHeight="1">
      <c r="A85" s="3" t="s">
        <v>234</v>
      </c>
      <c r="B85" s="3" t="s">
        <v>368</v>
      </c>
      <c r="C85" s="3"/>
      <c r="D85" s="26" t="s">
        <v>235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134">
        <f t="shared" si="11"/>
        <v>0</v>
      </c>
      <c r="R85" s="134" t="e">
        <f t="shared" si="12"/>
        <v>#DIV/0!</v>
      </c>
      <c r="T85" s="148"/>
      <c r="U85" s="40">
        <f t="shared" si="13"/>
        <v>0</v>
      </c>
    </row>
    <row r="86" spans="1:21" s="77" customFormat="1" ht="25.4" customHeight="1">
      <c r="A86" s="3" t="s">
        <v>422</v>
      </c>
      <c r="B86" s="3" t="s">
        <v>368</v>
      </c>
      <c r="C86" s="3"/>
      <c r="D86" s="26" t="s">
        <v>423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134">
        <f t="shared" si="11"/>
        <v>0</v>
      </c>
      <c r="R86" s="134" t="e">
        <f t="shared" si="12"/>
        <v>#DIV/0!</v>
      </c>
      <c r="T86" s="148"/>
      <c r="U86" s="40">
        <f t="shared" si="13"/>
        <v>0</v>
      </c>
    </row>
    <row r="87" spans="1:21" s="77" customFormat="1" ht="25.4" customHeight="1">
      <c r="A87" s="3" t="s">
        <v>236</v>
      </c>
      <c r="B87" s="3" t="s">
        <v>368</v>
      </c>
      <c r="C87" s="3"/>
      <c r="D87" s="26" t="s">
        <v>237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134">
        <f t="shared" si="11"/>
        <v>0</v>
      </c>
      <c r="R87" s="134" t="e">
        <f t="shared" si="12"/>
        <v>#DIV/0!</v>
      </c>
      <c r="T87" s="148"/>
      <c r="U87" s="40">
        <f t="shared" si="13"/>
        <v>0</v>
      </c>
    </row>
    <row r="88" spans="1:21" s="77" customFormat="1" ht="25.4" customHeight="1">
      <c r="A88" s="3" t="s">
        <v>238</v>
      </c>
      <c r="B88" s="3" t="s">
        <v>368</v>
      </c>
      <c r="C88" s="3"/>
      <c r="D88" s="26" t="s">
        <v>239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134">
        <f t="shared" si="11"/>
        <v>0</v>
      </c>
      <c r="R88" s="134" t="e">
        <f t="shared" si="12"/>
        <v>#DIV/0!</v>
      </c>
      <c r="T88" s="148"/>
      <c r="U88" s="40">
        <f t="shared" si="13"/>
        <v>0</v>
      </c>
    </row>
    <row r="89" spans="1:21" s="77" customFormat="1" ht="25.4" customHeight="1">
      <c r="A89" s="3" t="s">
        <v>240</v>
      </c>
      <c r="B89" s="3" t="s">
        <v>368</v>
      </c>
      <c r="C89" s="3"/>
      <c r="D89" s="26" t="s">
        <v>241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134">
        <f t="shared" si="11"/>
        <v>0</v>
      </c>
      <c r="R89" s="134" t="e">
        <f t="shared" si="12"/>
        <v>#DIV/0!</v>
      </c>
      <c r="T89" s="148"/>
      <c r="U89" s="40">
        <f t="shared" si="13"/>
        <v>0</v>
      </c>
    </row>
    <row r="90" spans="1:21" s="77" customFormat="1" ht="25.4" customHeight="1">
      <c r="A90" s="3" t="s">
        <v>242</v>
      </c>
      <c r="B90" s="3" t="s">
        <v>368</v>
      </c>
      <c r="C90" s="3"/>
      <c r="D90" s="26" t="s">
        <v>243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134">
        <f t="shared" si="11"/>
        <v>0</v>
      </c>
      <c r="R90" s="134" t="e">
        <f t="shared" si="12"/>
        <v>#DIV/0!</v>
      </c>
      <c r="T90" s="148"/>
      <c r="U90" s="40">
        <f t="shared" si="13"/>
        <v>0</v>
      </c>
    </row>
    <row r="91" spans="1:21" s="77" customFormat="1" ht="25.4" customHeight="1">
      <c r="A91" s="3" t="s">
        <v>244</v>
      </c>
      <c r="B91" s="3" t="s">
        <v>368</v>
      </c>
      <c r="C91" s="3"/>
      <c r="D91" s="26" t="s">
        <v>245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134">
        <f t="shared" si="11"/>
        <v>0</v>
      </c>
      <c r="R91" s="134" t="e">
        <f t="shared" si="12"/>
        <v>#DIV/0!</v>
      </c>
      <c r="T91" s="148"/>
      <c r="U91" s="40">
        <f t="shared" si="13"/>
        <v>0</v>
      </c>
    </row>
    <row r="92" spans="1:21" s="77" customFormat="1" ht="25.4" customHeight="1">
      <c r="A92" s="3" t="s">
        <v>246</v>
      </c>
      <c r="B92" s="3" t="s">
        <v>368</v>
      </c>
      <c r="C92" s="3"/>
      <c r="D92" s="26" t="s">
        <v>247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134">
        <f t="shared" si="11"/>
        <v>0</v>
      </c>
      <c r="R92" s="134" t="e">
        <f t="shared" si="12"/>
        <v>#DIV/0!</v>
      </c>
      <c r="T92" s="148"/>
      <c r="U92" s="40">
        <f t="shared" si="13"/>
        <v>0</v>
      </c>
    </row>
    <row r="93" spans="1:21" s="77" customFormat="1" ht="25.4" customHeight="1">
      <c r="A93" s="3" t="s">
        <v>248</v>
      </c>
      <c r="B93" s="3" t="s">
        <v>368</v>
      </c>
      <c r="C93" s="3"/>
      <c r="D93" s="26" t="s">
        <v>249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134">
        <f t="shared" si="11"/>
        <v>0</v>
      </c>
      <c r="R93" s="134" t="e">
        <f t="shared" si="12"/>
        <v>#DIV/0!</v>
      </c>
      <c r="T93" s="148"/>
      <c r="U93" s="40">
        <f t="shared" si="13"/>
        <v>0</v>
      </c>
    </row>
    <row r="94" spans="1:21" s="77" customFormat="1" ht="25.4" customHeight="1">
      <c r="A94" s="3" t="s">
        <v>250</v>
      </c>
      <c r="B94" s="3" t="s">
        <v>368</v>
      </c>
      <c r="C94" s="3"/>
      <c r="D94" s="26" t="s">
        <v>251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134">
        <f t="shared" si="11"/>
        <v>0</v>
      </c>
      <c r="R94" s="134" t="e">
        <f t="shared" si="12"/>
        <v>#DIV/0!</v>
      </c>
      <c r="T94" s="148"/>
      <c r="U94" s="40">
        <f t="shared" si="13"/>
        <v>0</v>
      </c>
    </row>
    <row r="95" spans="1:21" s="77" customFormat="1" ht="25.4" customHeight="1">
      <c r="A95" s="3" t="s">
        <v>252</v>
      </c>
      <c r="B95" s="3" t="s">
        <v>368</v>
      </c>
      <c r="C95" s="3"/>
      <c r="D95" s="26" t="s">
        <v>253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134">
        <f t="shared" si="11"/>
        <v>0</v>
      </c>
      <c r="R95" s="134" t="e">
        <f t="shared" si="12"/>
        <v>#DIV/0!</v>
      </c>
      <c r="T95" s="148"/>
      <c r="U95" s="40">
        <f t="shared" si="13"/>
        <v>0</v>
      </c>
    </row>
    <row r="96" spans="1:21" s="77" customFormat="1" ht="25.4" customHeight="1">
      <c r="A96" s="3" t="s">
        <v>254</v>
      </c>
      <c r="B96" s="3" t="s">
        <v>368</v>
      </c>
      <c r="C96" s="3"/>
      <c r="D96" s="26" t="s">
        <v>255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134">
        <f t="shared" si="11"/>
        <v>0</v>
      </c>
      <c r="R96" s="134" t="e">
        <f t="shared" si="12"/>
        <v>#DIV/0!</v>
      </c>
      <c r="T96" s="148"/>
      <c r="U96" s="40">
        <f t="shared" si="13"/>
        <v>0</v>
      </c>
    </row>
    <row r="97" spans="1:21" s="77" customFormat="1" ht="25.4" customHeight="1">
      <c r="A97" s="3" t="s">
        <v>256</v>
      </c>
      <c r="B97" s="3" t="s">
        <v>368</v>
      </c>
      <c r="C97" s="3"/>
      <c r="D97" s="26" t="s">
        <v>257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134">
        <f t="shared" si="11"/>
        <v>0</v>
      </c>
      <c r="R97" s="134" t="e">
        <f t="shared" si="12"/>
        <v>#DIV/0!</v>
      </c>
      <c r="T97" s="148"/>
      <c r="U97" s="40">
        <f t="shared" si="13"/>
        <v>0</v>
      </c>
    </row>
    <row r="98" spans="1:21" s="77" customFormat="1" ht="25.4" customHeight="1">
      <c r="A98" s="3" t="s">
        <v>258</v>
      </c>
      <c r="B98" s="3" t="s">
        <v>368</v>
      </c>
      <c r="C98" s="3"/>
      <c r="D98" s="26" t="s">
        <v>259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134">
        <f t="shared" si="11"/>
        <v>0</v>
      </c>
      <c r="R98" s="134" t="e">
        <f t="shared" si="12"/>
        <v>#DIV/0!</v>
      </c>
      <c r="T98" s="148"/>
      <c r="U98" s="40">
        <f t="shared" si="13"/>
        <v>0</v>
      </c>
    </row>
    <row r="99" spans="1:21" s="77" customFormat="1" ht="25.4" customHeight="1">
      <c r="A99" s="3" t="s">
        <v>260</v>
      </c>
      <c r="B99" s="3" t="s">
        <v>368</v>
      </c>
      <c r="C99" s="3"/>
      <c r="D99" s="26" t="s">
        <v>261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134">
        <f t="shared" si="11"/>
        <v>0</v>
      </c>
      <c r="R99" s="134" t="e">
        <f t="shared" si="12"/>
        <v>#DIV/0!</v>
      </c>
      <c r="T99" s="148"/>
      <c r="U99" s="40"/>
    </row>
    <row r="100" spans="1:21" s="77" customFormat="1" ht="25.4" customHeight="1">
      <c r="A100" s="3" t="s">
        <v>262</v>
      </c>
      <c r="B100" s="3" t="s">
        <v>368</v>
      </c>
      <c r="C100" s="3"/>
      <c r="D100" s="26" t="s">
        <v>263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134">
        <f t="shared" si="11"/>
        <v>0</v>
      </c>
      <c r="R100" s="134" t="e">
        <f t="shared" si="12"/>
        <v>#DIV/0!</v>
      </c>
      <c r="T100" s="148"/>
      <c r="U100" s="40">
        <f t="shared" si="13"/>
        <v>0</v>
      </c>
    </row>
    <row r="101" spans="1:21" s="77" customFormat="1" ht="25.4" customHeight="1">
      <c r="A101" s="3" t="s">
        <v>264</v>
      </c>
      <c r="B101" s="3" t="s">
        <v>368</v>
      </c>
      <c r="C101" s="3"/>
      <c r="D101" s="26" t="s">
        <v>265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134">
        <f t="shared" si="11"/>
        <v>0</v>
      </c>
      <c r="R101" s="134" t="e">
        <f t="shared" si="12"/>
        <v>#DIV/0!</v>
      </c>
      <c r="T101" s="148"/>
      <c r="U101" s="40">
        <f t="shared" si="13"/>
        <v>0</v>
      </c>
    </row>
    <row r="102" spans="1:21" s="77" customFormat="1" ht="25.4" customHeight="1">
      <c r="A102" s="3" t="s">
        <v>266</v>
      </c>
      <c r="B102" s="3" t="s">
        <v>368</v>
      </c>
      <c r="C102" s="3"/>
      <c r="D102" s="26" t="s">
        <v>267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134">
        <f t="shared" si="11"/>
        <v>0</v>
      </c>
      <c r="R102" s="134" t="e">
        <f t="shared" si="12"/>
        <v>#DIV/0!</v>
      </c>
      <c r="T102" s="148"/>
      <c r="U102" s="40">
        <f t="shared" si="13"/>
        <v>0</v>
      </c>
    </row>
    <row r="103" spans="1:21" s="77" customFormat="1" ht="25.4" customHeight="1">
      <c r="A103" s="3" t="s">
        <v>268</v>
      </c>
      <c r="B103" s="3" t="s">
        <v>368</v>
      </c>
      <c r="C103" s="3"/>
      <c r="D103" s="26" t="s">
        <v>269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134">
        <f t="shared" si="11"/>
        <v>0</v>
      </c>
      <c r="R103" s="134" t="e">
        <f t="shared" si="12"/>
        <v>#DIV/0!</v>
      </c>
      <c r="T103" s="148"/>
      <c r="U103" s="40">
        <f t="shared" si="13"/>
        <v>0</v>
      </c>
    </row>
    <row r="104" spans="1:21" s="77" customFormat="1" ht="25.4" customHeight="1">
      <c r="A104" s="3" t="s">
        <v>270</v>
      </c>
      <c r="B104" s="3" t="s">
        <v>368</v>
      </c>
      <c r="C104" s="3"/>
      <c r="D104" s="26" t="s">
        <v>271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134">
        <f t="shared" ref="Q104:Q107" si="14">SUM(E104:P104)</f>
        <v>0</v>
      </c>
      <c r="R104" s="134" t="e">
        <f>Q104/$Q$117</f>
        <v>#DIV/0!</v>
      </c>
      <c r="T104" s="148"/>
      <c r="U104" s="40">
        <f t="shared" si="13"/>
        <v>0</v>
      </c>
    </row>
    <row r="105" spans="1:21" s="77" customFormat="1" ht="25.4" customHeight="1">
      <c r="A105" s="3" t="s">
        <v>272</v>
      </c>
      <c r="B105" s="3" t="s">
        <v>368</v>
      </c>
      <c r="C105" s="3"/>
      <c r="D105" s="26" t="s">
        <v>273</v>
      </c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134">
        <f t="shared" si="14"/>
        <v>0</v>
      </c>
      <c r="R105" s="134" t="e">
        <f>Q105/$Q$117</f>
        <v>#DIV/0!</v>
      </c>
      <c r="T105" s="148"/>
      <c r="U105" s="40">
        <f t="shared" si="13"/>
        <v>0</v>
      </c>
    </row>
    <row r="106" spans="1:21" s="77" customFormat="1" ht="25.4" customHeight="1">
      <c r="A106" s="3" t="s">
        <v>274</v>
      </c>
      <c r="B106" s="3" t="s">
        <v>368</v>
      </c>
      <c r="C106" s="3"/>
      <c r="D106" s="26" t="s">
        <v>275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134">
        <f t="shared" si="14"/>
        <v>0</v>
      </c>
      <c r="R106" s="134" t="e">
        <f>Q106/$Q$117</f>
        <v>#DIV/0!</v>
      </c>
      <c r="T106" s="148"/>
      <c r="U106" s="40">
        <f t="shared" si="13"/>
        <v>0</v>
      </c>
    </row>
    <row r="107" spans="1:21" s="77" customFormat="1" ht="25.4" customHeight="1">
      <c r="A107" s="3" t="s">
        <v>455</v>
      </c>
      <c r="B107" s="3" t="s">
        <v>368</v>
      </c>
      <c r="C107" s="3"/>
      <c r="D107" s="26" t="s">
        <v>456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134">
        <f t="shared" si="14"/>
        <v>0</v>
      </c>
      <c r="R107" s="134" t="e">
        <f>Q107/$Q$117</f>
        <v>#DIV/0!</v>
      </c>
      <c r="T107" s="148"/>
      <c r="U107" s="40">
        <f t="shared" si="13"/>
        <v>0</v>
      </c>
    </row>
    <row r="108" spans="1:21" s="77" customFormat="1" ht="25.4" customHeight="1">
      <c r="A108" s="3"/>
      <c r="B108" s="3"/>
      <c r="C108" s="3"/>
      <c r="D108" s="19" t="s">
        <v>276</v>
      </c>
      <c r="E108" s="151">
        <f>SUM(E39:E107)</f>
        <v>0</v>
      </c>
      <c r="F108" s="151">
        <f t="shared" ref="F108:Q108" si="15">SUM(F39:F107)</f>
        <v>0</v>
      </c>
      <c r="G108" s="151">
        <f t="shared" si="15"/>
        <v>0</v>
      </c>
      <c r="H108" s="151">
        <f t="shared" si="15"/>
        <v>0</v>
      </c>
      <c r="I108" s="151">
        <f t="shared" si="15"/>
        <v>0</v>
      </c>
      <c r="J108" s="151">
        <f t="shared" si="15"/>
        <v>0</v>
      </c>
      <c r="K108" s="151">
        <f t="shared" si="15"/>
        <v>0</v>
      </c>
      <c r="L108" s="151">
        <f t="shared" si="15"/>
        <v>0</v>
      </c>
      <c r="M108" s="151">
        <f t="shared" si="15"/>
        <v>0</v>
      </c>
      <c r="N108" s="151">
        <f t="shared" si="15"/>
        <v>0</v>
      </c>
      <c r="O108" s="151">
        <f t="shared" si="15"/>
        <v>0</v>
      </c>
      <c r="P108" s="151">
        <f t="shared" si="15"/>
        <v>0</v>
      </c>
      <c r="Q108" s="151">
        <f t="shared" si="15"/>
        <v>0</v>
      </c>
      <c r="R108" s="134" t="e">
        <f>Q108/$Q$117</f>
        <v>#DIV/0!</v>
      </c>
      <c r="T108" s="148"/>
      <c r="U108" s="40">
        <f t="shared" si="13"/>
        <v>0</v>
      </c>
    </row>
    <row r="109" spans="1:21" s="77" customFormat="1" ht="25.4" customHeight="1">
      <c r="A109" s="3"/>
      <c r="B109" s="3"/>
      <c r="C109" s="3"/>
      <c r="D109" s="19" t="s">
        <v>277</v>
      </c>
      <c r="E109" s="151">
        <f>E28-E34-E36-E108</f>
        <v>0</v>
      </c>
      <c r="F109" s="151">
        <f t="shared" ref="F109:P109" si="16">F28-F34-F36-F108</f>
        <v>0</v>
      </c>
      <c r="G109" s="151">
        <f t="shared" si="16"/>
        <v>0</v>
      </c>
      <c r="H109" s="151">
        <f t="shared" si="16"/>
        <v>0</v>
      </c>
      <c r="I109" s="151">
        <f t="shared" si="16"/>
        <v>0</v>
      </c>
      <c r="J109" s="151">
        <f t="shared" si="16"/>
        <v>0</v>
      </c>
      <c r="K109" s="151">
        <f t="shared" si="16"/>
        <v>0</v>
      </c>
      <c r="L109" s="151">
        <f t="shared" si="16"/>
        <v>0</v>
      </c>
      <c r="M109" s="151">
        <f t="shared" si="16"/>
        <v>0</v>
      </c>
      <c r="N109" s="151">
        <f t="shared" si="16"/>
        <v>0</v>
      </c>
      <c r="O109" s="151">
        <f t="shared" si="16"/>
        <v>0</v>
      </c>
      <c r="P109" s="151">
        <f t="shared" si="16"/>
        <v>0</v>
      </c>
      <c r="Q109" s="151">
        <f t="shared" ref="Q109" si="17">Q28-Q34-Q36-Q108</f>
        <v>0</v>
      </c>
      <c r="R109" s="151"/>
      <c r="T109" s="148"/>
      <c r="U109" s="40">
        <f t="shared" ref="U109:U117" si="18">IF(Q109-T109=0,0,(Q109-T109)/T109)</f>
        <v>0</v>
      </c>
    </row>
    <row r="110" spans="1:21" s="77" customFormat="1" ht="25.4" customHeight="1">
      <c r="A110" s="3"/>
      <c r="B110" s="3"/>
      <c r="C110" s="3"/>
      <c r="D110" s="19" t="s">
        <v>278</v>
      </c>
      <c r="E110" s="129">
        <f t="shared" ref="E110:Q110" si="19">IF(E109=0,0,E109/E28)</f>
        <v>0</v>
      </c>
      <c r="F110" s="129">
        <f t="shared" si="19"/>
        <v>0</v>
      </c>
      <c r="G110" s="129">
        <f t="shared" si="19"/>
        <v>0</v>
      </c>
      <c r="H110" s="129">
        <f t="shared" si="19"/>
        <v>0</v>
      </c>
      <c r="I110" s="129">
        <f t="shared" si="19"/>
        <v>0</v>
      </c>
      <c r="J110" s="129">
        <f t="shared" si="19"/>
        <v>0</v>
      </c>
      <c r="K110" s="129">
        <f t="shared" si="19"/>
        <v>0</v>
      </c>
      <c r="L110" s="129">
        <f t="shared" si="19"/>
        <v>0</v>
      </c>
      <c r="M110" s="129">
        <f t="shared" si="19"/>
        <v>0</v>
      </c>
      <c r="N110" s="129">
        <f t="shared" si="19"/>
        <v>0</v>
      </c>
      <c r="O110" s="129">
        <f t="shared" si="19"/>
        <v>0</v>
      </c>
      <c r="P110" s="129">
        <f t="shared" si="19"/>
        <v>0</v>
      </c>
      <c r="Q110" s="129">
        <f t="shared" si="19"/>
        <v>0</v>
      </c>
      <c r="R110" s="169"/>
      <c r="T110" s="40"/>
      <c r="U110" s="40">
        <f t="shared" si="18"/>
        <v>0</v>
      </c>
    </row>
    <row r="111" spans="1:21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3"/>
      <c r="T111" s="148"/>
      <c r="U111" s="40"/>
    </row>
    <row r="112" spans="1:21" s="77" customFormat="1" ht="25.4" customHeight="1">
      <c r="A112" s="50" t="s">
        <v>457</v>
      </c>
      <c r="B112" s="3" t="s">
        <v>368</v>
      </c>
      <c r="C112" s="3"/>
      <c r="D112" s="26" t="s">
        <v>440</v>
      </c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162">
        <f>SUM(E112:P112)</f>
        <v>0</v>
      </c>
      <c r="R112" s="162"/>
      <c r="T112" s="148"/>
      <c r="U112" s="40">
        <f t="shared" si="18"/>
        <v>0</v>
      </c>
    </row>
    <row r="113" spans="1:21" s="77" customFormat="1" ht="25.4" customHeight="1">
      <c r="A113" s="3" t="s">
        <v>458</v>
      </c>
      <c r="B113" s="3" t="s">
        <v>368</v>
      </c>
      <c r="C113" s="3"/>
      <c r="D113" s="26" t="s">
        <v>442</v>
      </c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162">
        <f t="shared" ref="Q113:Q116" si="20">SUM(E113:P113)</f>
        <v>0</v>
      </c>
      <c r="R113" s="162"/>
      <c r="T113" s="148"/>
      <c r="U113" s="40">
        <f t="shared" si="18"/>
        <v>0</v>
      </c>
    </row>
    <row r="114" spans="1:21" s="77" customFormat="1" ht="25.4" customHeight="1">
      <c r="A114" s="3" t="s">
        <v>459</v>
      </c>
      <c r="B114" s="3" t="s">
        <v>368</v>
      </c>
      <c r="C114" s="3"/>
      <c r="D114" s="26" t="s">
        <v>444</v>
      </c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62">
        <f t="shared" si="20"/>
        <v>0</v>
      </c>
      <c r="R114" s="162"/>
      <c r="T114" s="148"/>
      <c r="U114" s="40">
        <f t="shared" si="18"/>
        <v>0</v>
      </c>
    </row>
    <row r="115" spans="1:21" s="77" customFormat="1" ht="25.4" customHeight="1">
      <c r="A115" s="3" t="s">
        <v>460</v>
      </c>
      <c r="B115" s="3" t="s">
        <v>368</v>
      </c>
      <c r="C115" s="3"/>
      <c r="D115" s="26" t="s">
        <v>446</v>
      </c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162">
        <f t="shared" si="20"/>
        <v>0</v>
      </c>
      <c r="R115" s="162"/>
      <c r="T115" s="148"/>
      <c r="U115" s="40">
        <f t="shared" si="18"/>
        <v>0</v>
      </c>
    </row>
    <row r="116" spans="1:21" s="77" customFormat="1" ht="25.4" customHeight="1">
      <c r="A116" s="3" t="s">
        <v>461</v>
      </c>
      <c r="B116" s="3" t="s">
        <v>368</v>
      </c>
      <c r="C116" s="3"/>
      <c r="D116" s="26" t="s">
        <v>448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162">
        <f t="shared" si="20"/>
        <v>0</v>
      </c>
      <c r="R116" s="162"/>
      <c r="T116" s="148"/>
      <c r="U116" s="40"/>
    </row>
    <row r="117" spans="1:21" s="77" customFormat="1" ht="25.4" customHeight="1">
      <c r="A117" s="3"/>
      <c r="B117" s="3"/>
      <c r="C117" s="3"/>
      <c r="D117" s="19" t="s">
        <v>427</v>
      </c>
      <c r="E117" s="160">
        <f>SUM(E112:E116)</f>
        <v>0</v>
      </c>
      <c r="F117" s="160">
        <f t="shared" ref="F117:P117" si="21">SUM(F112:F116)</f>
        <v>0</v>
      </c>
      <c r="G117" s="160">
        <f t="shared" si="21"/>
        <v>0</v>
      </c>
      <c r="H117" s="160">
        <f t="shared" si="21"/>
        <v>0</v>
      </c>
      <c r="I117" s="160">
        <f t="shared" si="21"/>
        <v>0</v>
      </c>
      <c r="J117" s="160">
        <f t="shared" si="21"/>
        <v>0</v>
      </c>
      <c r="K117" s="160">
        <f t="shared" si="21"/>
        <v>0</v>
      </c>
      <c r="L117" s="160">
        <f t="shared" si="21"/>
        <v>0</v>
      </c>
      <c r="M117" s="160">
        <f t="shared" si="21"/>
        <v>0</v>
      </c>
      <c r="N117" s="160">
        <f t="shared" si="21"/>
        <v>0</v>
      </c>
      <c r="O117" s="160">
        <f t="shared" si="21"/>
        <v>0</v>
      </c>
      <c r="P117" s="160">
        <f t="shared" si="21"/>
        <v>0</v>
      </c>
      <c r="Q117" s="160">
        <f t="shared" ref="Q117" si="22">SUM(Q112:Q116)</f>
        <v>0</v>
      </c>
      <c r="R117" s="160"/>
      <c r="T117" s="148"/>
      <c r="U117" s="40">
        <f t="shared" si="18"/>
        <v>0</v>
      </c>
    </row>
    <row r="118" spans="1:21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T118" s="148"/>
      <c r="U118" s="40"/>
    </row>
    <row r="119" spans="1:21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3"/>
      <c r="T119" s="148"/>
      <c r="U119" s="40"/>
    </row>
    <row r="120" spans="1:21" s="77" customFormat="1" ht="25.4" customHeight="1">
      <c r="A120" s="3"/>
      <c r="B120" s="3"/>
      <c r="C120" s="3"/>
      <c r="D120" s="26" t="s">
        <v>440</v>
      </c>
      <c r="E120" s="61">
        <f t="shared" ref="E120:Q120" si="23">IF(E112=0,0,ROUND(E12/E112,2))</f>
        <v>0</v>
      </c>
      <c r="F120" s="61">
        <f t="shared" si="23"/>
        <v>0</v>
      </c>
      <c r="G120" s="61">
        <f t="shared" si="23"/>
        <v>0</v>
      </c>
      <c r="H120" s="61">
        <f t="shared" ref="H120:L123" si="24">IF(H112=0,0,ROUND(H12/H112,2))</f>
        <v>0</v>
      </c>
      <c r="I120" s="61">
        <f t="shared" si="24"/>
        <v>0</v>
      </c>
      <c r="J120" s="61">
        <f t="shared" si="24"/>
        <v>0</v>
      </c>
      <c r="K120" s="61">
        <f t="shared" si="24"/>
        <v>0</v>
      </c>
      <c r="L120" s="61">
        <f t="shared" si="24"/>
        <v>0</v>
      </c>
      <c r="M120" s="61">
        <f t="shared" si="23"/>
        <v>0</v>
      </c>
      <c r="N120" s="61">
        <f t="shared" si="23"/>
        <v>0</v>
      </c>
      <c r="O120" s="61">
        <f t="shared" si="23"/>
        <v>0</v>
      </c>
      <c r="P120" s="61">
        <f t="shared" si="23"/>
        <v>0</v>
      </c>
      <c r="Q120" s="61">
        <f t="shared" si="23"/>
        <v>0</v>
      </c>
      <c r="R120" s="163"/>
      <c r="T120" s="148"/>
      <c r="U120" s="40">
        <f t="shared" ref="U120:U125" si="25">IF(Q120-T120=0,0,(Q120-T120)/T120)</f>
        <v>0</v>
      </c>
    </row>
    <row r="121" spans="1:21" s="77" customFormat="1" ht="25.4" customHeight="1">
      <c r="A121" s="3"/>
      <c r="B121" s="3"/>
      <c r="C121" s="3"/>
      <c r="D121" s="26" t="s">
        <v>442</v>
      </c>
      <c r="E121" s="61">
        <f t="shared" ref="E121:Q121" si="26">IF(E113=0,0,ROUND(E13/E113,2))</f>
        <v>0</v>
      </c>
      <c r="F121" s="61">
        <f t="shared" si="26"/>
        <v>0</v>
      </c>
      <c r="G121" s="61">
        <f t="shared" si="26"/>
        <v>0</v>
      </c>
      <c r="H121" s="61">
        <f t="shared" si="24"/>
        <v>0</v>
      </c>
      <c r="I121" s="61">
        <f t="shared" si="24"/>
        <v>0</v>
      </c>
      <c r="J121" s="61">
        <f t="shared" si="24"/>
        <v>0</v>
      </c>
      <c r="K121" s="61">
        <f t="shared" si="24"/>
        <v>0</v>
      </c>
      <c r="L121" s="61">
        <f t="shared" si="24"/>
        <v>0</v>
      </c>
      <c r="M121" s="61">
        <f t="shared" si="26"/>
        <v>0</v>
      </c>
      <c r="N121" s="61">
        <f t="shared" si="26"/>
        <v>0</v>
      </c>
      <c r="O121" s="61">
        <f t="shared" si="26"/>
        <v>0</v>
      </c>
      <c r="P121" s="61">
        <f t="shared" si="26"/>
        <v>0</v>
      </c>
      <c r="Q121" s="61">
        <f t="shared" si="26"/>
        <v>0</v>
      </c>
      <c r="R121" s="163"/>
      <c r="T121" s="148"/>
      <c r="U121" s="40">
        <f t="shared" si="25"/>
        <v>0</v>
      </c>
    </row>
    <row r="122" spans="1:21" s="77" customFormat="1" ht="25.4" customHeight="1">
      <c r="A122" s="3"/>
      <c r="B122" s="3"/>
      <c r="C122" s="3"/>
      <c r="D122" s="26" t="s">
        <v>444</v>
      </c>
      <c r="E122" s="61">
        <f t="shared" ref="E122:Q122" si="27">IF(E114=0,0,ROUND(E14/E114,2))</f>
        <v>0</v>
      </c>
      <c r="F122" s="61">
        <f t="shared" si="27"/>
        <v>0</v>
      </c>
      <c r="G122" s="61">
        <f t="shared" si="27"/>
        <v>0</v>
      </c>
      <c r="H122" s="61">
        <f t="shared" si="24"/>
        <v>0</v>
      </c>
      <c r="I122" s="61">
        <f t="shared" si="24"/>
        <v>0</v>
      </c>
      <c r="J122" s="61">
        <f t="shared" si="24"/>
        <v>0</v>
      </c>
      <c r="K122" s="61">
        <f t="shared" si="24"/>
        <v>0</v>
      </c>
      <c r="L122" s="61">
        <f t="shared" si="24"/>
        <v>0</v>
      </c>
      <c r="M122" s="61">
        <f t="shared" si="27"/>
        <v>0</v>
      </c>
      <c r="N122" s="61">
        <f t="shared" si="27"/>
        <v>0</v>
      </c>
      <c r="O122" s="61">
        <f t="shared" si="27"/>
        <v>0</v>
      </c>
      <c r="P122" s="61">
        <f t="shared" si="27"/>
        <v>0</v>
      </c>
      <c r="Q122" s="61">
        <f t="shared" si="27"/>
        <v>0</v>
      </c>
      <c r="R122" s="163"/>
      <c r="T122" s="148"/>
      <c r="U122" s="40">
        <f t="shared" si="25"/>
        <v>0</v>
      </c>
    </row>
    <row r="123" spans="1:21" s="77" customFormat="1" ht="25.4" customHeight="1">
      <c r="A123" s="3"/>
      <c r="B123" s="3"/>
      <c r="C123" s="3"/>
      <c r="D123" s="26" t="s">
        <v>446</v>
      </c>
      <c r="E123" s="61">
        <f t="shared" ref="E123:Q123" si="28">IF(E115=0,0,ROUND(E15/E115,2))</f>
        <v>0</v>
      </c>
      <c r="F123" s="61">
        <f t="shared" si="28"/>
        <v>0</v>
      </c>
      <c r="G123" s="61">
        <f t="shared" si="28"/>
        <v>0</v>
      </c>
      <c r="H123" s="61">
        <f t="shared" si="24"/>
        <v>0</v>
      </c>
      <c r="I123" s="61">
        <f t="shared" si="24"/>
        <v>0</v>
      </c>
      <c r="J123" s="61">
        <f t="shared" si="24"/>
        <v>0</v>
      </c>
      <c r="K123" s="61">
        <f t="shared" si="24"/>
        <v>0</v>
      </c>
      <c r="L123" s="61">
        <f t="shared" si="24"/>
        <v>0</v>
      </c>
      <c r="M123" s="61">
        <f t="shared" si="28"/>
        <v>0</v>
      </c>
      <c r="N123" s="61">
        <f t="shared" si="28"/>
        <v>0</v>
      </c>
      <c r="O123" s="61">
        <f t="shared" si="28"/>
        <v>0</v>
      </c>
      <c r="P123" s="61">
        <f t="shared" si="28"/>
        <v>0</v>
      </c>
      <c r="Q123" s="61">
        <f t="shared" si="28"/>
        <v>0</v>
      </c>
      <c r="R123" s="163"/>
      <c r="T123" s="148"/>
      <c r="U123" s="40">
        <f t="shared" si="25"/>
        <v>0</v>
      </c>
    </row>
    <row r="124" spans="1:21" s="77" customFormat="1" ht="25.4" customHeight="1">
      <c r="A124" s="3"/>
      <c r="B124" s="3"/>
      <c r="C124" s="3"/>
      <c r="D124" s="26" t="s">
        <v>448</v>
      </c>
      <c r="E124" s="61">
        <f t="shared" ref="E124:Q124" si="29">IF(E116=0,0,ROUND(E16/E116,2))</f>
        <v>0</v>
      </c>
      <c r="F124" s="61">
        <f t="shared" si="29"/>
        <v>0</v>
      </c>
      <c r="G124" s="61">
        <f t="shared" si="29"/>
        <v>0</v>
      </c>
      <c r="H124" s="61">
        <f t="shared" si="29"/>
        <v>0</v>
      </c>
      <c r="I124" s="61">
        <f t="shared" si="29"/>
        <v>0</v>
      </c>
      <c r="J124" s="61">
        <f t="shared" si="29"/>
        <v>0</v>
      </c>
      <c r="K124" s="61">
        <f t="shared" si="29"/>
        <v>0</v>
      </c>
      <c r="L124" s="61">
        <f t="shared" ref="L124:Q125" si="30">IF(L116=0,0,ROUND(L16/L116,2))</f>
        <v>0</v>
      </c>
      <c r="M124" s="61">
        <f t="shared" si="29"/>
        <v>0</v>
      </c>
      <c r="N124" s="61">
        <f t="shared" si="29"/>
        <v>0</v>
      </c>
      <c r="O124" s="61">
        <f t="shared" si="29"/>
        <v>0</v>
      </c>
      <c r="P124" s="61">
        <f t="shared" si="29"/>
        <v>0</v>
      </c>
      <c r="Q124" s="61">
        <f t="shared" si="29"/>
        <v>0</v>
      </c>
      <c r="R124" s="163"/>
      <c r="T124" s="148"/>
      <c r="U124" s="40"/>
    </row>
    <row r="125" spans="1:21" s="77" customFormat="1" ht="25.4" customHeight="1">
      <c r="A125" s="3"/>
      <c r="B125" s="3"/>
      <c r="C125" s="3"/>
      <c r="D125" s="19" t="s">
        <v>429</v>
      </c>
      <c r="E125" s="161">
        <f>IF(E117=0,0,ROUND(E17/E117,2))</f>
        <v>0</v>
      </c>
      <c r="F125" s="161">
        <f t="shared" ref="F125:K125" si="31">IF(F117=0,0,ROUND(F17/F117,2))</f>
        <v>0</v>
      </c>
      <c r="G125" s="161">
        <f t="shared" si="31"/>
        <v>0</v>
      </c>
      <c r="H125" s="161">
        <f t="shared" si="31"/>
        <v>0</v>
      </c>
      <c r="I125" s="161">
        <f t="shared" si="31"/>
        <v>0</v>
      </c>
      <c r="J125" s="161">
        <f t="shared" si="31"/>
        <v>0</v>
      </c>
      <c r="K125" s="161">
        <f t="shared" si="31"/>
        <v>0</v>
      </c>
      <c r="L125" s="161">
        <f t="shared" si="30"/>
        <v>0</v>
      </c>
      <c r="M125" s="161">
        <f t="shared" si="30"/>
        <v>0</v>
      </c>
      <c r="N125" s="161">
        <f t="shared" si="30"/>
        <v>0</v>
      </c>
      <c r="O125" s="161">
        <f t="shared" si="30"/>
        <v>0</v>
      </c>
      <c r="P125" s="161">
        <f t="shared" si="30"/>
        <v>0</v>
      </c>
      <c r="Q125" s="161">
        <f t="shared" si="30"/>
        <v>0</v>
      </c>
      <c r="R125" s="164"/>
      <c r="T125" s="148"/>
      <c r="U125" s="40">
        <f t="shared" si="25"/>
        <v>0</v>
      </c>
    </row>
    <row r="126" spans="1:21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T126" s="148"/>
      <c r="U126" s="40"/>
    </row>
    <row r="127" spans="1:21" s="77" customFormat="1" ht="25.4" customHeight="1">
      <c r="A127" s="3"/>
      <c r="B127" s="3"/>
      <c r="C127" s="3"/>
      <c r="D127" s="19" t="s">
        <v>430</v>
      </c>
      <c r="E127" s="151">
        <f t="shared" ref="E127:Q127" si="32">IF(E117=0,0,ROUND((E34+E36+E108)/E117,2))</f>
        <v>0</v>
      </c>
      <c r="F127" s="151">
        <f t="shared" si="32"/>
        <v>0</v>
      </c>
      <c r="G127" s="151">
        <f t="shared" si="32"/>
        <v>0</v>
      </c>
      <c r="H127" s="151">
        <f t="shared" si="32"/>
        <v>0</v>
      </c>
      <c r="I127" s="151">
        <f t="shared" si="32"/>
        <v>0</v>
      </c>
      <c r="J127" s="151">
        <f t="shared" si="32"/>
        <v>0</v>
      </c>
      <c r="K127" s="151">
        <f t="shared" si="32"/>
        <v>0</v>
      </c>
      <c r="L127" s="151">
        <f t="shared" si="32"/>
        <v>0</v>
      </c>
      <c r="M127" s="151">
        <f t="shared" si="32"/>
        <v>0</v>
      </c>
      <c r="N127" s="151">
        <f t="shared" si="32"/>
        <v>0</v>
      </c>
      <c r="O127" s="151">
        <f t="shared" si="32"/>
        <v>0</v>
      </c>
      <c r="P127" s="151">
        <f t="shared" si="32"/>
        <v>0</v>
      </c>
      <c r="Q127" s="151">
        <f t="shared" si="32"/>
        <v>0</v>
      </c>
      <c r="R127" s="151"/>
      <c r="T127" s="148"/>
      <c r="U127" s="40">
        <f>-IF(Q127-T127=0,0,(Q127-T127)/T127)</f>
        <v>0</v>
      </c>
    </row>
    <row r="128" spans="1:21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T128" s="148"/>
      <c r="U128" s="40"/>
    </row>
    <row r="129" spans="1:21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3"/>
      <c r="T129" s="148"/>
      <c r="U129" s="40"/>
    </row>
    <row r="130" spans="1:21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3"/>
      <c r="T130" s="148"/>
      <c r="U130" s="40"/>
    </row>
    <row r="131" spans="1:21" s="77" customFormat="1" ht="25.4" customHeight="1">
      <c r="A131" s="3" t="s">
        <v>297</v>
      </c>
      <c r="B131" s="3" t="s">
        <v>368</v>
      </c>
      <c r="C131" s="3"/>
      <c r="D131" s="3" t="s">
        <v>299</v>
      </c>
      <c r="E131" s="134">
        <f>Summary!E$183+Summary!E$518</f>
        <v>0</v>
      </c>
      <c r="F131" s="134">
        <f>Summary!F$183+Summary!F$518</f>
        <v>0</v>
      </c>
      <c r="G131" s="134">
        <f>Summary!G$183+Summary!G$518</f>
        <v>0</v>
      </c>
      <c r="H131" s="134">
        <f>Summary!H$183+Summary!H$518</f>
        <v>0</v>
      </c>
      <c r="I131" s="134">
        <f>Summary!I$183+Summary!I$518</f>
        <v>0</v>
      </c>
      <c r="J131" s="134">
        <f>Summary!J$183+Summary!J$518</f>
        <v>0</v>
      </c>
      <c r="K131" s="134">
        <f>Summary!K$183+Summary!K$518</f>
        <v>0</v>
      </c>
      <c r="L131" s="134">
        <f>Summary!L$183+Summary!L$518</f>
        <v>0</v>
      </c>
      <c r="M131" s="134">
        <f>Summary!M$183+Summary!M$518</f>
        <v>0</v>
      </c>
      <c r="N131" s="134">
        <f>Summary!N$183+Summary!N$518</f>
        <v>0</v>
      </c>
      <c r="O131" s="134">
        <f>Summary!O$183+Summary!O$518</f>
        <v>0</v>
      </c>
      <c r="P131" s="134">
        <f>Summary!P$183+Summary!P$518</f>
        <v>0</v>
      </c>
      <c r="Q131" s="134">
        <f>SUM(E131:P131)</f>
        <v>0</v>
      </c>
      <c r="R131" s="134" t="e">
        <f>Q131/$Q$117</f>
        <v>#DIV/0!</v>
      </c>
      <c r="T131" s="148"/>
      <c r="U131" s="40">
        <f>-IF(Q131-T131=0,0,(Q131-T131)/T131)</f>
        <v>0</v>
      </c>
    </row>
    <row r="132" spans="1:21" s="77" customFormat="1" ht="25.4" customHeight="1">
      <c r="A132" s="50" t="s">
        <v>300</v>
      </c>
      <c r="B132" s="3" t="s">
        <v>368</v>
      </c>
      <c r="C132" s="3"/>
      <c r="D132" s="3" t="s">
        <v>434</v>
      </c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134">
        <f>SUM(E132:P132)</f>
        <v>0</v>
      </c>
      <c r="R132" s="134" t="e">
        <f>Q132/$Q$117</f>
        <v>#DIV/0!</v>
      </c>
      <c r="T132" s="148"/>
      <c r="U132" s="40">
        <f t="shared" ref="U132:U153" si="33">-IF(Q132-T132=0,0,(Q132-T132)/T132)</f>
        <v>0</v>
      </c>
    </row>
    <row r="133" spans="1:21" s="77" customFormat="1" ht="25.4" customHeight="1">
      <c r="A133" s="50" t="s">
        <v>300</v>
      </c>
      <c r="B133" s="3" t="s">
        <v>368</v>
      </c>
      <c r="C133" s="3"/>
      <c r="D133" s="3" t="s">
        <v>436</v>
      </c>
      <c r="E133" s="61">
        <f>Summary!E$519</f>
        <v>0</v>
      </c>
      <c r="F133" s="61">
        <f>Summary!F$519</f>
        <v>0</v>
      </c>
      <c r="G133" s="61">
        <f>Summary!G$519</f>
        <v>0</v>
      </c>
      <c r="H133" s="61">
        <f>Summary!H$519</f>
        <v>0</v>
      </c>
      <c r="I133" s="61">
        <f>Summary!I$519</f>
        <v>0</v>
      </c>
      <c r="J133" s="61">
        <f>Summary!J$519</f>
        <v>0</v>
      </c>
      <c r="K133" s="61">
        <f>Summary!K$519</f>
        <v>0</v>
      </c>
      <c r="L133" s="61">
        <f>Summary!L$519</f>
        <v>0</v>
      </c>
      <c r="M133" s="61">
        <f>Summary!M$519</f>
        <v>0</v>
      </c>
      <c r="N133" s="61">
        <f>Summary!N$519</f>
        <v>0</v>
      </c>
      <c r="O133" s="61">
        <f>Summary!O$519</f>
        <v>0</v>
      </c>
      <c r="P133" s="61">
        <f>Summary!P$519</f>
        <v>0</v>
      </c>
      <c r="Q133" s="134">
        <f>SUM(E133:P133)</f>
        <v>0</v>
      </c>
      <c r="R133" s="134" t="e">
        <f>Q133/$Q$117</f>
        <v>#DIV/0!</v>
      </c>
      <c r="T133" s="148"/>
      <c r="U133" s="40">
        <f t="shared" si="33"/>
        <v>0</v>
      </c>
    </row>
    <row r="134" spans="1:21" s="77" customFormat="1" ht="25.4" customHeight="1">
      <c r="A134" s="3"/>
      <c r="B134" s="3"/>
      <c r="C134" s="3"/>
      <c r="D134" s="19" t="s">
        <v>437</v>
      </c>
      <c r="E134" s="151">
        <f>SUM(E131:E133)</f>
        <v>0</v>
      </c>
      <c r="F134" s="151">
        <f t="shared" ref="F134:Q134" si="34">SUM(F131:F133)</f>
        <v>0</v>
      </c>
      <c r="G134" s="151">
        <f t="shared" si="34"/>
        <v>0</v>
      </c>
      <c r="H134" s="151">
        <f t="shared" si="34"/>
        <v>0</v>
      </c>
      <c r="I134" s="151">
        <f t="shared" si="34"/>
        <v>0</v>
      </c>
      <c r="J134" s="151">
        <f t="shared" si="34"/>
        <v>0</v>
      </c>
      <c r="K134" s="151">
        <f t="shared" si="34"/>
        <v>0</v>
      </c>
      <c r="L134" s="151">
        <f t="shared" si="34"/>
        <v>0</v>
      </c>
      <c r="M134" s="151">
        <f t="shared" si="34"/>
        <v>0</v>
      </c>
      <c r="N134" s="151">
        <f t="shared" si="34"/>
        <v>0</v>
      </c>
      <c r="O134" s="151">
        <f t="shared" si="34"/>
        <v>0</v>
      </c>
      <c r="P134" s="151">
        <f t="shared" si="34"/>
        <v>0</v>
      </c>
      <c r="Q134" s="151">
        <f t="shared" si="34"/>
        <v>0</v>
      </c>
      <c r="R134" s="134" t="e">
        <f>Q134/$Q$117</f>
        <v>#DIV/0!</v>
      </c>
      <c r="T134" s="148"/>
      <c r="U134" s="40">
        <f t="shared" si="33"/>
        <v>0</v>
      </c>
    </row>
    <row r="135" spans="1:21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152"/>
      <c r="T135" s="148"/>
      <c r="U135" s="40"/>
    </row>
    <row r="136" spans="1:21" s="77" customFormat="1" ht="25.4" customHeight="1">
      <c r="A136" s="3" t="s">
        <v>308</v>
      </c>
      <c r="B136" s="3" t="s">
        <v>368</v>
      </c>
      <c r="C136" s="3"/>
      <c r="D136" s="26" t="s">
        <v>309</v>
      </c>
      <c r="E136" s="61">
        <f>Summary!E$185+Summary!E$520</f>
        <v>0</v>
      </c>
      <c r="F136" s="61">
        <f>Summary!F$185+Summary!F$520</f>
        <v>0</v>
      </c>
      <c r="G136" s="61">
        <f>Summary!G$185+Summary!G$520</f>
        <v>0</v>
      </c>
      <c r="H136" s="61">
        <f>Summary!H$185+Summary!H$520</f>
        <v>0</v>
      </c>
      <c r="I136" s="61">
        <f>Summary!I$185+Summary!I$520</f>
        <v>0</v>
      </c>
      <c r="J136" s="61">
        <f>Summary!J$185+Summary!J$520</f>
        <v>0</v>
      </c>
      <c r="K136" s="61">
        <f>Summary!K$185+Summary!K$520</f>
        <v>0</v>
      </c>
      <c r="L136" s="61">
        <f>Summary!L$185+Summary!L$520</f>
        <v>0</v>
      </c>
      <c r="M136" s="61">
        <f>Summary!M$185+Summary!M$520</f>
        <v>0</v>
      </c>
      <c r="N136" s="61">
        <f>Summary!N$185+Summary!N$520</f>
        <v>0</v>
      </c>
      <c r="O136" s="61">
        <f>Summary!O$185+Summary!O$520</f>
        <v>0</v>
      </c>
      <c r="P136" s="61">
        <f>Summary!P$185+Summary!P$520</f>
        <v>0</v>
      </c>
      <c r="Q136" s="134">
        <f>SUM(E136:P136)</f>
        <v>0</v>
      </c>
      <c r="R136" s="134" t="e">
        <f t="shared" ref="R136:R143" si="35">Q136/$Q$117</f>
        <v>#DIV/0!</v>
      </c>
      <c r="T136" s="148"/>
      <c r="U136" s="40">
        <f t="shared" si="33"/>
        <v>0</v>
      </c>
    </row>
    <row r="137" spans="1:21" s="77" customFormat="1" ht="25.4" customHeight="1">
      <c r="A137" s="3" t="s">
        <v>310</v>
      </c>
      <c r="B137" s="3" t="s">
        <v>368</v>
      </c>
      <c r="C137" s="3"/>
      <c r="D137" s="26" t="s">
        <v>311</v>
      </c>
      <c r="E137" s="61">
        <f>Summary!E$186+Summary!E$521</f>
        <v>0</v>
      </c>
      <c r="F137" s="61">
        <f>Summary!F$186+Summary!F$521</f>
        <v>0</v>
      </c>
      <c r="G137" s="61">
        <f>Summary!G$186+Summary!G$521</f>
        <v>0</v>
      </c>
      <c r="H137" s="61">
        <f>Summary!H$186+Summary!H$521</f>
        <v>0</v>
      </c>
      <c r="I137" s="61">
        <f>Summary!I$186+Summary!I$521</f>
        <v>0</v>
      </c>
      <c r="J137" s="61">
        <f>Summary!J$186+Summary!J$521</f>
        <v>0</v>
      </c>
      <c r="K137" s="61">
        <f>Summary!K$186+Summary!K$521</f>
        <v>0</v>
      </c>
      <c r="L137" s="61">
        <f>Summary!L$186+Summary!L$521</f>
        <v>0</v>
      </c>
      <c r="M137" s="61">
        <f>Summary!M$186+Summary!M$521</f>
        <v>0</v>
      </c>
      <c r="N137" s="61">
        <f>Summary!N$186+Summary!N$521</f>
        <v>0</v>
      </c>
      <c r="O137" s="61">
        <f>Summary!O$186+Summary!O$521</f>
        <v>0</v>
      </c>
      <c r="P137" s="61">
        <f>Summary!P$186+Summary!P$521</f>
        <v>0</v>
      </c>
      <c r="Q137" s="134">
        <f>SUM(E137:P137)</f>
        <v>0</v>
      </c>
      <c r="R137" s="134" t="e">
        <f t="shared" si="35"/>
        <v>#DIV/0!</v>
      </c>
      <c r="T137" s="148"/>
      <c r="U137" s="40">
        <f t="shared" si="33"/>
        <v>0</v>
      </c>
    </row>
    <row r="138" spans="1:21" s="77" customFormat="1" ht="25.4" customHeight="1">
      <c r="A138" s="3" t="s">
        <v>312</v>
      </c>
      <c r="B138" s="3" t="s">
        <v>368</v>
      </c>
      <c r="C138" s="3"/>
      <c r="D138" s="26" t="s">
        <v>313</v>
      </c>
      <c r="E138" s="61">
        <f>Summary!E$187+Summary!E$522</f>
        <v>0</v>
      </c>
      <c r="F138" s="61">
        <f>Summary!F$187+Summary!F$522</f>
        <v>0</v>
      </c>
      <c r="G138" s="61">
        <f>Summary!G$187+Summary!G$522</f>
        <v>0</v>
      </c>
      <c r="H138" s="61">
        <f>Summary!H$187+Summary!H$522</f>
        <v>0</v>
      </c>
      <c r="I138" s="61">
        <f>Summary!I$187+Summary!I$522</f>
        <v>0</v>
      </c>
      <c r="J138" s="61">
        <f>Summary!J$187+Summary!J$522</f>
        <v>0</v>
      </c>
      <c r="K138" s="61">
        <f>Summary!K$187+Summary!K$522</f>
        <v>0</v>
      </c>
      <c r="L138" s="61">
        <f>Summary!L$187+Summary!L$522</f>
        <v>0</v>
      </c>
      <c r="M138" s="61">
        <f>Summary!M$187+Summary!M$522</f>
        <v>0</v>
      </c>
      <c r="N138" s="61">
        <f>Summary!N$187+Summary!N$522</f>
        <v>0</v>
      </c>
      <c r="O138" s="61">
        <f>Summary!O$187+Summary!O$522</f>
        <v>0</v>
      </c>
      <c r="P138" s="61">
        <f>Summary!P$187+Summary!P$522</f>
        <v>0</v>
      </c>
      <c r="Q138" s="134">
        <f>SUM(E138:P138)</f>
        <v>0</v>
      </c>
      <c r="R138" s="134" t="e">
        <f t="shared" si="35"/>
        <v>#DIV/0!</v>
      </c>
      <c r="T138" s="148"/>
      <c r="U138" s="40">
        <f t="shared" si="33"/>
        <v>0</v>
      </c>
    </row>
    <row r="139" spans="1:21" s="77" customFormat="1" ht="25.4" customHeight="1">
      <c r="A139" s="3" t="s">
        <v>314</v>
      </c>
      <c r="B139" s="3" t="s">
        <v>368</v>
      </c>
      <c r="C139" s="3"/>
      <c r="D139" s="26" t="s">
        <v>315</v>
      </c>
      <c r="E139" s="61">
        <f>Summary!E$188+Summary!E$523</f>
        <v>0</v>
      </c>
      <c r="F139" s="61">
        <f>Summary!F$188+Summary!F$523</f>
        <v>0</v>
      </c>
      <c r="G139" s="61">
        <f>Summary!G$188+Summary!G$523</f>
        <v>0</v>
      </c>
      <c r="H139" s="61">
        <f>Summary!H$188+Summary!H$523</f>
        <v>0</v>
      </c>
      <c r="I139" s="61">
        <f>Summary!I$188+Summary!I$523</f>
        <v>0</v>
      </c>
      <c r="J139" s="61">
        <f>Summary!J$188+Summary!J$523</f>
        <v>0</v>
      </c>
      <c r="K139" s="61">
        <f>Summary!K$188+Summary!K$523</f>
        <v>0</v>
      </c>
      <c r="L139" s="61">
        <f>Summary!L$188+Summary!L$523</f>
        <v>0</v>
      </c>
      <c r="M139" s="61">
        <f>Summary!M$188+Summary!M$523</f>
        <v>0</v>
      </c>
      <c r="N139" s="61">
        <f>Summary!N$188+Summary!N$523</f>
        <v>0</v>
      </c>
      <c r="O139" s="61">
        <f>Summary!O$188+Summary!O$523</f>
        <v>0</v>
      </c>
      <c r="P139" s="61">
        <f>Summary!P$188+Summary!P$523</f>
        <v>0</v>
      </c>
      <c r="Q139" s="134">
        <f>SUM(E139:P139)</f>
        <v>0</v>
      </c>
      <c r="R139" s="134" t="e">
        <f t="shared" si="35"/>
        <v>#DIV/0!</v>
      </c>
      <c r="T139" s="148"/>
      <c r="U139" s="40">
        <f t="shared" si="33"/>
        <v>0</v>
      </c>
    </row>
    <row r="140" spans="1:21" s="77" customFormat="1" ht="25.4" customHeight="1">
      <c r="A140" s="3" t="s">
        <v>316</v>
      </c>
      <c r="B140" s="3" t="s">
        <v>368</v>
      </c>
      <c r="C140" s="3"/>
      <c r="D140" s="26" t="s">
        <v>317</v>
      </c>
      <c r="E140" s="61">
        <f>Summary!E$189+Summary!E$524</f>
        <v>0</v>
      </c>
      <c r="F140" s="61">
        <f>Summary!F$189+Summary!F$524</f>
        <v>0</v>
      </c>
      <c r="G140" s="61">
        <f>Summary!G$189+Summary!G$524</f>
        <v>0</v>
      </c>
      <c r="H140" s="61">
        <f>Summary!H$189+Summary!H$524</f>
        <v>0</v>
      </c>
      <c r="I140" s="61">
        <f>Summary!I$189+Summary!I$524</f>
        <v>0</v>
      </c>
      <c r="J140" s="61">
        <f>Summary!J$189+Summary!J$524</f>
        <v>0</v>
      </c>
      <c r="K140" s="61">
        <f>Summary!K$189+Summary!K$524</f>
        <v>0</v>
      </c>
      <c r="L140" s="61">
        <f>Summary!L$189+Summary!L$524</f>
        <v>0</v>
      </c>
      <c r="M140" s="61">
        <f>Summary!M$189+Summary!M$524</f>
        <v>0</v>
      </c>
      <c r="N140" s="61">
        <f>Summary!N$189+Summary!N$524</f>
        <v>0</v>
      </c>
      <c r="O140" s="61">
        <f>Summary!O$189+Summary!O$524</f>
        <v>0</v>
      </c>
      <c r="P140" s="61">
        <f>Summary!P$189+Summary!P$524</f>
        <v>0</v>
      </c>
      <c r="Q140" s="134">
        <f>SUM(E140:P140)</f>
        <v>0</v>
      </c>
      <c r="R140" s="134" t="e">
        <f t="shared" si="35"/>
        <v>#DIV/0!</v>
      </c>
      <c r="T140" s="148"/>
      <c r="U140" s="40">
        <f t="shared" si="33"/>
        <v>0</v>
      </c>
    </row>
    <row r="141" spans="1:21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:Q142" si="36">SUM(E141:P141)</f>
        <v>0</v>
      </c>
      <c r="R141" s="134" t="e">
        <f t="shared" si="35"/>
        <v>#DIV/0!</v>
      </c>
      <c r="S141" s="148"/>
      <c r="T141" s="40"/>
    </row>
    <row r="142" spans="1:21" s="77" customFormat="1" ht="25.4" customHeight="1">
      <c r="A142" s="3" t="s">
        <v>1066</v>
      </c>
      <c r="B142" s="3" t="s">
        <v>368</v>
      </c>
      <c r="C142" s="3"/>
      <c r="D142" s="26" t="s">
        <v>1070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36"/>
        <v>0</v>
      </c>
      <c r="R142" s="134" t="e">
        <f t="shared" si="35"/>
        <v>#DIV/0!</v>
      </c>
      <c r="S142" s="148"/>
      <c r="T142" s="40"/>
    </row>
    <row r="143" spans="1:21" s="77" customFormat="1" ht="25.4" customHeight="1">
      <c r="A143" s="3"/>
      <c r="B143" s="3"/>
      <c r="C143" s="3"/>
      <c r="D143" s="19" t="s">
        <v>318</v>
      </c>
      <c r="E143" s="151">
        <f>SUM(E136:E142)</f>
        <v>0</v>
      </c>
      <c r="F143" s="151">
        <f t="shared" ref="F143:P143" si="37">SUM(F136:F142)</f>
        <v>0</v>
      </c>
      <c r="G143" s="151">
        <f t="shared" si="37"/>
        <v>0</v>
      </c>
      <c r="H143" s="151">
        <f t="shared" si="37"/>
        <v>0</v>
      </c>
      <c r="I143" s="151">
        <f t="shared" si="37"/>
        <v>0</v>
      </c>
      <c r="J143" s="151">
        <f t="shared" si="37"/>
        <v>0</v>
      </c>
      <c r="K143" s="151">
        <f t="shared" si="37"/>
        <v>0</v>
      </c>
      <c r="L143" s="151">
        <f t="shared" si="37"/>
        <v>0</v>
      </c>
      <c r="M143" s="151">
        <f t="shared" si="37"/>
        <v>0</v>
      </c>
      <c r="N143" s="151">
        <f t="shared" si="37"/>
        <v>0</v>
      </c>
      <c r="O143" s="151">
        <f t="shared" si="37"/>
        <v>0</v>
      </c>
      <c r="P143" s="151">
        <f t="shared" si="37"/>
        <v>0</v>
      </c>
      <c r="Q143" s="151">
        <f>SUM(Q136:Q142)</f>
        <v>0</v>
      </c>
      <c r="R143" s="134" t="e">
        <f t="shared" si="35"/>
        <v>#DIV/0!</v>
      </c>
      <c r="T143" s="148"/>
      <c r="U143" s="40">
        <f t="shared" si="33"/>
        <v>0</v>
      </c>
    </row>
    <row r="144" spans="1:21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152"/>
      <c r="T144" s="148"/>
      <c r="U144" s="40"/>
    </row>
    <row r="145" spans="1:21" s="77" customFormat="1" ht="25.4" customHeight="1">
      <c r="A145" s="3" t="s">
        <v>319</v>
      </c>
      <c r="B145" s="3" t="s">
        <v>368</v>
      </c>
      <c r="C145" s="3"/>
      <c r="D145" s="26" t="s">
        <v>320</v>
      </c>
      <c r="E145" s="61">
        <f>Summary!E$191+Summary!E$526</f>
        <v>0</v>
      </c>
      <c r="F145" s="61">
        <f>Summary!F$191+Summary!F$526</f>
        <v>0</v>
      </c>
      <c r="G145" s="61">
        <f>Summary!G$191+Summary!G$526</f>
        <v>0</v>
      </c>
      <c r="H145" s="61">
        <f>Summary!H$191+Summary!H$526</f>
        <v>0</v>
      </c>
      <c r="I145" s="61">
        <f>Summary!I$191+Summary!I$526</f>
        <v>0</v>
      </c>
      <c r="J145" s="61">
        <f>Summary!J$191+Summary!J$526</f>
        <v>0</v>
      </c>
      <c r="K145" s="61">
        <f>Summary!K$191+Summary!K$526</f>
        <v>0</v>
      </c>
      <c r="L145" s="61">
        <f>Summary!L$191+Summary!L$526</f>
        <v>0</v>
      </c>
      <c r="M145" s="61">
        <f>Summary!M$191+Summary!M$526</f>
        <v>0</v>
      </c>
      <c r="N145" s="61">
        <f>Summary!N$191+Summary!N$526</f>
        <v>0</v>
      </c>
      <c r="O145" s="61">
        <f>Summary!O$191+Summary!O$526</f>
        <v>0</v>
      </c>
      <c r="P145" s="61">
        <f>Summary!P$191+Summary!P$526</f>
        <v>0</v>
      </c>
      <c r="Q145" s="134">
        <f>SUM(E145:P145)</f>
        <v>0</v>
      </c>
      <c r="R145" s="134" t="e">
        <f t="shared" ref="R145:R153" si="38">Q145/$Q$117</f>
        <v>#DIV/0!</v>
      </c>
      <c r="T145" s="148"/>
      <c r="U145" s="40">
        <f t="shared" si="33"/>
        <v>0</v>
      </c>
    </row>
    <row r="146" spans="1:21" s="77" customFormat="1" ht="25.4" customHeight="1">
      <c r="A146" s="3" t="s">
        <v>321</v>
      </c>
      <c r="B146" s="3" t="s">
        <v>368</v>
      </c>
      <c r="C146" s="3"/>
      <c r="D146" s="26" t="s">
        <v>322</v>
      </c>
      <c r="E146" s="61">
        <f>Summary!E$192+Summary!E$527</f>
        <v>0</v>
      </c>
      <c r="F146" s="61">
        <f>Summary!F$192+Summary!F$527</f>
        <v>0</v>
      </c>
      <c r="G146" s="61">
        <f>Summary!G$192+Summary!G$527</f>
        <v>0</v>
      </c>
      <c r="H146" s="61">
        <f>Summary!H$192+Summary!H$527</f>
        <v>0</v>
      </c>
      <c r="I146" s="61">
        <f>Summary!I$192+Summary!I$527</f>
        <v>0</v>
      </c>
      <c r="J146" s="61">
        <f>Summary!J$192+Summary!J$527</f>
        <v>0</v>
      </c>
      <c r="K146" s="61">
        <f>Summary!K$192+Summary!K$527</f>
        <v>0</v>
      </c>
      <c r="L146" s="61">
        <f>Summary!L$192+Summary!L$527</f>
        <v>0</v>
      </c>
      <c r="M146" s="61">
        <f>Summary!M$192+Summary!M$527</f>
        <v>0</v>
      </c>
      <c r="N146" s="61">
        <f>Summary!N$192+Summary!N$527</f>
        <v>0</v>
      </c>
      <c r="O146" s="61">
        <f>Summary!O$192+Summary!O$527</f>
        <v>0</v>
      </c>
      <c r="P146" s="61">
        <f>Summary!P$192+Summary!P$527</f>
        <v>0</v>
      </c>
      <c r="Q146" s="134">
        <f t="shared" ref="Q146:Q152" si="39">SUM(E146:P146)</f>
        <v>0</v>
      </c>
      <c r="R146" s="134" t="e">
        <f t="shared" si="38"/>
        <v>#DIV/0!</v>
      </c>
      <c r="T146" s="148"/>
      <c r="U146" s="40">
        <f t="shared" si="33"/>
        <v>0</v>
      </c>
    </row>
    <row r="147" spans="1:21" s="77" customFormat="1" ht="25.4" customHeight="1">
      <c r="A147" s="3" t="s">
        <v>323</v>
      </c>
      <c r="B147" s="3" t="s">
        <v>368</v>
      </c>
      <c r="C147" s="3"/>
      <c r="D147" s="26" t="s">
        <v>324</v>
      </c>
      <c r="E147" s="61">
        <f>Summary!E$193+Summary!E$528</f>
        <v>0</v>
      </c>
      <c r="F147" s="61">
        <f>Summary!F$193+Summary!F$528</f>
        <v>0</v>
      </c>
      <c r="G147" s="61">
        <f>Summary!G$193+Summary!G$528</f>
        <v>0</v>
      </c>
      <c r="H147" s="61">
        <f>Summary!H$193+Summary!H$528</f>
        <v>0</v>
      </c>
      <c r="I147" s="61">
        <f>Summary!I$193+Summary!I$528</f>
        <v>0</v>
      </c>
      <c r="J147" s="61">
        <f>Summary!J$193+Summary!J$528</f>
        <v>0</v>
      </c>
      <c r="K147" s="61">
        <f>Summary!K$193+Summary!K$528</f>
        <v>0</v>
      </c>
      <c r="L147" s="61">
        <f>Summary!L$193+Summary!L$528</f>
        <v>0</v>
      </c>
      <c r="M147" s="61">
        <f>Summary!M$193+Summary!M$528</f>
        <v>0</v>
      </c>
      <c r="N147" s="61">
        <f>Summary!N$193+Summary!N$528</f>
        <v>0</v>
      </c>
      <c r="O147" s="61">
        <f>Summary!O$193+Summary!O$528</f>
        <v>0</v>
      </c>
      <c r="P147" s="61">
        <f>Summary!P$193+Summary!P$528</f>
        <v>0</v>
      </c>
      <c r="Q147" s="134">
        <f t="shared" si="39"/>
        <v>0</v>
      </c>
      <c r="R147" s="134" t="e">
        <f t="shared" si="38"/>
        <v>#DIV/0!</v>
      </c>
      <c r="T147" s="148"/>
      <c r="U147" s="40">
        <f t="shared" si="33"/>
        <v>0</v>
      </c>
    </row>
    <row r="148" spans="1:21" s="77" customFormat="1" ht="25.4" customHeight="1">
      <c r="A148" s="3" t="s">
        <v>325</v>
      </c>
      <c r="B148" s="3" t="s">
        <v>368</v>
      </c>
      <c r="C148" s="3"/>
      <c r="D148" s="26" t="s">
        <v>326</v>
      </c>
      <c r="E148" s="61">
        <f>Summary!E$194+Summary!E$529</f>
        <v>0</v>
      </c>
      <c r="F148" s="61">
        <f>Summary!F$194+Summary!F$529</f>
        <v>0</v>
      </c>
      <c r="G148" s="61">
        <f>Summary!G$194+Summary!G$529</f>
        <v>0</v>
      </c>
      <c r="H148" s="61">
        <f>Summary!H$194+Summary!H$529</f>
        <v>0</v>
      </c>
      <c r="I148" s="61">
        <f>Summary!I$194+Summary!I$529</f>
        <v>0</v>
      </c>
      <c r="J148" s="61">
        <f>Summary!J$194+Summary!J$529</f>
        <v>0</v>
      </c>
      <c r="K148" s="61">
        <f>Summary!K$194+Summary!K$529</f>
        <v>0</v>
      </c>
      <c r="L148" s="61">
        <f>Summary!L$194+Summary!L$529</f>
        <v>0</v>
      </c>
      <c r="M148" s="61">
        <f>Summary!M$194+Summary!M$529</f>
        <v>0</v>
      </c>
      <c r="N148" s="61">
        <f>Summary!N$194+Summary!N$529</f>
        <v>0</v>
      </c>
      <c r="O148" s="61">
        <f>Summary!O$194+Summary!O$529</f>
        <v>0</v>
      </c>
      <c r="P148" s="61">
        <f>Summary!P$194+Summary!P$529</f>
        <v>0</v>
      </c>
      <c r="Q148" s="134">
        <f t="shared" si="39"/>
        <v>0</v>
      </c>
      <c r="R148" s="134" t="e">
        <f t="shared" si="38"/>
        <v>#DIV/0!</v>
      </c>
      <c r="T148" s="148"/>
      <c r="U148" s="40">
        <f t="shared" si="33"/>
        <v>0</v>
      </c>
    </row>
    <row r="149" spans="1:21" s="77" customFormat="1" ht="25.4" customHeight="1">
      <c r="A149" s="3" t="s">
        <v>327</v>
      </c>
      <c r="B149" s="3" t="s">
        <v>368</v>
      </c>
      <c r="C149" s="3"/>
      <c r="D149" s="26" t="s">
        <v>328</v>
      </c>
      <c r="E149" s="61">
        <f>Summary!E$195+Summary!E$530</f>
        <v>0</v>
      </c>
      <c r="F149" s="61">
        <f>Summary!F$195+Summary!F$530</f>
        <v>0</v>
      </c>
      <c r="G149" s="61">
        <f>Summary!G$195+Summary!G$530</f>
        <v>0</v>
      </c>
      <c r="H149" s="61">
        <f>Summary!H$195+Summary!H$530</f>
        <v>0</v>
      </c>
      <c r="I149" s="61">
        <f>Summary!I$195+Summary!I$530</f>
        <v>0</v>
      </c>
      <c r="J149" s="61">
        <f>Summary!J$195+Summary!J$530</f>
        <v>0</v>
      </c>
      <c r="K149" s="61">
        <f>Summary!K$195+Summary!K$530</f>
        <v>0</v>
      </c>
      <c r="L149" s="61">
        <f>Summary!L$195+Summary!L$530</f>
        <v>0</v>
      </c>
      <c r="M149" s="61">
        <f>Summary!M$195+Summary!M$530</f>
        <v>0</v>
      </c>
      <c r="N149" s="61">
        <f>Summary!N$195+Summary!N$530</f>
        <v>0</v>
      </c>
      <c r="O149" s="61">
        <f>Summary!O$195+Summary!O$530</f>
        <v>0</v>
      </c>
      <c r="P149" s="61">
        <f>Summary!P$195+Summary!P$530</f>
        <v>0</v>
      </c>
      <c r="Q149" s="134">
        <f t="shared" si="39"/>
        <v>0</v>
      </c>
      <c r="R149" s="134" t="e">
        <f t="shared" si="38"/>
        <v>#DIV/0!</v>
      </c>
      <c r="T149" s="148"/>
      <c r="U149" s="40">
        <f t="shared" si="33"/>
        <v>0</v>
      </c>
    </row>
    <row r="150" spans="1:21" s="77" customFormat="1" ht="25.4" customHeight="1">
      <c r="A150" s="3" t="s">
        <v>329</v>
      </c>
      <c r="B150" s="3" t="s">
        <v>368</v>
      </c>
      <c r="C150" s="3"/>
      <c r="D150" s="26" t="s">
        <v>330</v>
      </c>
      <c r="E150" s="61">
        <f>Summary!E$196+Summary!E$531</f>
        <v>0</v>
      </c>
      <c r="F150" s="61">
        <f>Summary!F$196+Summary!F$531</f>
        <v>0</v>
      </c>
      <c r="G150" s="61">
        <f>Summary!G$196+Summary!G$531</f>
        <v>0</v>
      </c>
      <c r="H150" s="61">
        <f>Summary!H$196+Summary!H$531</f>
        <v>0</v>
      </c>
      <c r="I150" s="61">
        <f>Summary!I$196+Summary!I$531</f>
        <v>0</v>
      </c>
      <c r="J150" s="61">
        <f>Summary!J$196+Summary!J$531</f>
        <v>0</v>
      </c>
      <c r="K150" s="61">
        <f>Summary!K$196+Summary!K$531</f>
        <v>0</v>
      </c>
      <c r="L150" s="61">
        <f>Summary!L$196+Summary!L$531</f>
        <v>0</v>
      </c>
      <c r="M150" s="61">
        <f>Summary!M$196+Summary!M$531</f>
        <v>0</v>
      </c>
      <c r="N150" s="61">
        <f>Summary!N$196+Summary!N$531</f>
        <v>0</v>
      </c>
      <c r="O150" s="61">
        <f>Summary!O$196+Summary!O$531</f>
        <v>0</v>
      </c>
      <c r="P150" s="61">
        <f>Summary!P$196+Summary!P$531</f>
        <v>0</v>
      </c>
      <c r="Q150" s="134">
        <f t="shared" si="39"/>
        <v>0</v>
      </c>
      <c r="R150" s="134" t="e">
        <f t="shared" si="38"/>
        <v>#DIV/0!</v>
      </c>
      <c r="T150" s="148"/>
      <c r="U150" s="40">
        <f t="shared" si="33"/>
        <v>0</v>
      </c>
    </row>
    <row r="151" spans="1:21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0</v>
      </c>
      <c r="F151" s="63">
        <v>0</v>
      </c>
      <c r="G151" s="63">
        <v>0</v>
      </c>
      <c r="H151" s="63">
        <v>0</v>
      </c>
      <c r="I151" s="63">
        <v>0</v>
      </c>
      <c r="J151" s="63">
        <v>0</v>
      </c>
      <c r="K151" s="63">
        <v>0</v>
      </c>
      <c r="L151" s="63">
        <v>0</v>
      </c>
      <c r="M151" s="61">
        <v>0</v>
      </c>
      <c r="N151" s="134">
        <v>0</v>
      </c>
      <c r="O151" s="134">
        <v>0</v>
      </c>
      <c r="P151" s="134">
        <v>0</v>
      </c>
      <c r="Q151" s="134">
        <f t="shared" si="39"/>
        <v>0</v>
      </c>
      <c r="R151" s="134" t="e">
        <f t="shared" si="38"/>
        <v>#DIV/0!</v>
      </c>
      <c r="T151" s="148"/>
      <c r="U151" s="40"/>
    </row>
    <row r="152" spans="1:21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0</v>
      </c>
      <c r="M152" s="61">
        <v>0</v>
      </c>
      <c r="N152" s="134">
        <v>0</v>
      </c>
      <c r="O152" s="134">
        <v>0</v>
      </c>
      <c r="P152" s="134">
        <v>0</v>
      </c>
      <c r="Q152" s="134">
        <f t="shared" si="39"/>
        <v>0</v>
      </c>
      <c r="R152" s="134" t="e">
        <f t="shared" si="38"/>
        <v>#DIV/0!</v>
      </c>
      <c r="T152" s="148"/>
      <c r="U152" s="40"/>
    </row>
    <row r="153" spans="1:21" s="77" customFormat="1" ht="25.4" customHeight="1">
      <c r="A153" s="3"/>
      <c r="B153" s="3"/>
      <c r="C153" s="3"/>
      <c r="D153" s="19" t="s">
        <v>335</v>
      </c>
      <c r="E153" s="151">
        <f>SUM(E145:E152)</f>
        <v>0</v>
      </c>
      <c r="F153" s="151">
        <f t="shared" ref="F153:Q153" si="40">SUM(F145:F152)</f>
        <v>0</v>
      </c>
      <c r="G153" s="151">
        <f t="shared" si="40"/>
        <v>0</v>
      </c>
      <c r="H153" s="151">
        <f t="shared" si="40"/>
        <v>0</v>
      </c>
      <c r="I153" s="151">
        <f t="shared" si="40"/>
        <v>0</v>
      </c>
      <c r="J153" s="151">
        <f t="shared" si="40"/>
        <v>0</v>
      </c>
      <c r="K153" s="151">
        <f t="shared" si="40"/>
        <v>0</v>
      </c>
      <c r="L153" s="151">
        <f t="shared" si="40"/>
        <v>0</v>
      </c>
      <c r="M153" s="151">
        <f t="shared" si="40"/>
        <v>0</v>
      </c>
      <c r="N153" s="151">
        <f t="shared" si="40"/>
        <v>0</v>
      </c>
      <c r="O153" s="151">
        <f t="shared" si="40"/>
        <v>0</v>
      </c>
      <c r="P153" s="151">
        <f t="shared" si="40"/>
        <v>0</v>
      </c>
      <c r="Q153" s="151">
        <f t="shared" si="40"/>
        <v>0</v>
      </c>
      <c r="R153" s="134" t="e">
        <f t="shared" si="38"/>
        <v>#DIV/0!</v>
      </c>
      <c r="T153" s="148"/>
      <c r="U153" s="40">
        <f t="shared" si="33"/>
        <v>0</v>
      </c>
    </row>
    <row r="154" spans="1:21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152"/>
      <c r="T154" s="148"/>
      <c r="U154" s="40"/>
    </row>
    <row r="155" spans="1:21" s="77" customFormat="1" ht="25.4" hidden="1" customHeight="1">
      <c r="A155" s="3" t="s">
        <v>336</v>
      </c>
      <c r="B155" s="3" t="s">
        <v>403</v>
      </c>
      <c r="C155" s="3"/>
      <c r="D155" s="26" t="s">
        <v>337</v>
      </c>
      <c r="E155" s="61">
        <v>0</v>
      </c>
      <c r="F155" s="63">
        <v>0</v>
      </c>
      <c r="G155" s="63">
        <v>0</v>
      </c>
      <c r="H155" s="63">
        <v>0</v>
      </c>
      <c r="I155" s="63">
        <v>0</v>
      </c>
      <c r="J155" s="63">
        <v>0</v>
      </c>
      <c r="K155" s="63">
        <v>0</v>
      </c>
      <c r="L155" s="63">
        <v>0</v>
      </c>
      <c r="M155" s="61">
        <v>0</v>
      </c>
      <c r="N155" s="134">
        <v>0</v>
      </c>
      <c r="O155" s="134">
        <v>0</v>
      </c>
      <c r="P155" s="134">
        <v>0</v>
      </c>
      <c r="Q155" s="134">
        <f t="shared" ref="Q155:Q161" si="41">SUM(E155:P155)</f>
        <v>0</v>
      </c>
      <c r="R155" s="134" t="e">
        <f t="shared" ref="R155:R163" si="42">Q155/$Q$117</f>
        <v>#DIV/0!</v>
      </c>
      <c r="T155" s="148"/>
      <c r="U155" s="40" t="e">
        <f t="shared" ref="U155:U158" si="43">(Q155-T155)/T155</f>
        <v>#DIV/0!</v>
      </c>
    </row>
    <row r="156" spans="1:21" s="77" customFormat="1" ht="25.4" hidden="1" customHeight="1">
      <c r="A156" s="3" t="s">
        <v>338</v>
      </c>
      <c r="B156" s="3" t="s">
        <v>403</v>
      </c>
      <c r="C156" s="3"/>
      <c r="D156" s="3" t="s">
        <v>339</v>
      </c>
      <c r="E156" s="61">
        <v>0</v>
      </c>
      <c r="F156" s="63">
        <v>0</v>
      </c>
      <c r="G156" s="63">
        <v>0</v>
      </c>
      <c r="H156" s="63">
        <v>0</v>
      </c>
      <c r="I156" s="63">
        <v>0</v>
      </c>
      <c r="J156" s="63">
        <v>0</v>
      </c>
      <c r="K156" s="63">
        <v>0</v>
      </c>
      <c r="L156" s="63">
        <v>0</v>
      </c>
      <c r="M156" s="61">
        <v>0</v>
      </c>
      <c r="N156" s="134">
        <v>0</v>
      </c>
      <c r="O156" s="134">
        <v>0</v>
      </c>
      <c r="P156" s="134">
        <v>0</v>
      </c>
      <c r="Q156" s="134">
        <f t="shared" si="41"/>
        <v>0</v>
      </c>
      <c r="R156" s="134" t="e">
        <f t="shared" si="42"/>
        <v>#DIV/0!</v>
      </c>
      <c r="T156" s="148"/>
      <c r="U156" s="40" t="e">
        <f t="shared" si="43"/>
        <v>#DIV/0!</v>
      </c>
    </row>
    <row r="157" spans="1:21" s="77" customFormat="1" ht="25.4" hidden="1" customHeight="1">
      <c r="A157" s="3" t="s">
        <v>340</v>
      </c>
      <c r="B157" s="3" t="s">
        <v>403</v>
      </c>
      <c r="C157" s="3"/>
      <c r="D157" s="26" t="s">
        <v>341</v>
      </c>
      <c r="E157" s="61">
        <v>0</v>
      </c>
      <c r="F157" s="63">
        <v>0</v>
      </c>
      <c r="G157" s="63">
        <v>0</v>
      </c>
      <c r="H157" s="63">
        <v>0</v>
      </c>
      <c r="I157" s="63">
        <v>0</v>
      </c>
      <c r="J157" s="63">
        <v>0</v>
      </c>
      <c r="K157" s="63">
        <v>0</v>
      </c>
      <c r="L157" s="63">
        <v>0</v>
      </c>
      <c r="M157" s="61">
        <v>0</v>
      </c>
      <c r="N157" s="134">
        <v>0</v>
      </c>
      <c r="O157" s="134">
        <v>0</v>
      </c>
      <c r="P157" s="134">
        <v>0</v>
      </c>
      <c r="Q157" s="134">
        <f t="shared" si="41"/>
        <v>0</v>
      </c>
      <c r="R157" s="134" t="e">
        <f t="shared" si="42"/>
        <v>#DIV/0!</v>
      </c>
      <c r="T157" s="148"/>
      <c r="U157" s="40" t="e">
        <f t="shared" si="43"/>
        <v>#DIV/0!</v>
      </c>
    </row>
    <row r="158" spans="1:21" s="77" customFormat="1" ht="25.4" hidden="1" customHeight="1">
      <c r="A158" s="3" t="s">
        <v>342</v>
      </c>
      <c r="B158" s="3" t="s">
        <v>403</v>
      </c>
      <c r="C158" s="3"/>
      <c r="D158" s="26" t="s">
        <v>343</v>
      </c>
      <c r="E158" s="61">
        <v>0</v>
      </c>
      <c r="F158" s="63">
        <v>0</v>
      </c>
      <c r="G158" s="63">
        <v>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1">
        <v>0</v>
      </c>
      <c r="N158" s="134">
        <v>0</v>
      </c>
      <c r="O158" s="134">
        <v>0</v>
      </c>
      <c r="P158" s="134">
        <v>0</v>
      </c>
      <c r="Q158" s="134">
        <f t="shared" si="41"/>
        <v>0</v>
      </c>
      <c r="R158" s="134" t="e">
        <f t="shared" si="42"/>
        <v>#DIV/0!</v>
      </c>
      <c r="T158" s="148"/>
      <c r="U158" s="40" t="e">
        <f t="shared" si="43"/>
        <v>#DIV/0!</v>
      </c>
    </row>
    <row r="159" spans="1:21" s="77" customFormat="1" ht="25.4" customHeight="1">
      <c r="A159" s="3" t="s">
        <v>344</v>
      </c>
      <c r="B159" s="3" t="s">
        <v>368</v>
      </c>
      <c r="C159" s="3"/>
      <c r="D159" s="26" t="s">
        <v>345</v>
      </c>
      <c r="E159" s="61">
        <f>Summary!E$198+Summary!E$533</f>
        <v>0</v>
      </c>
      <c r="F159" s="61">
        <f>Summary!F$198+Summary!F$533</f>
        <v>0</v>
      </c>
      <c r="G159" s="61">
        <f>Summary!G$198+Summary!G$533</f>
        <v>0</v>
      </c>
      <c r="H159" s="61">
        <f>Summary!H$198+Summary!H$533</f>
        <v>0</v>
      </c>
      <c r="I159" s="61">
        <f>Summary!I$198+Summary!I$533</f>
        <v>0</v>
      </c>
      <c r="J159" s="61">
        <f>Summary!J$198+Summary!J$533</f>
        <v>0</v>
      </c>
      <c r="K159" s="61">
        <f>Summary!K$198+Summary!K$533</f>
        <v>0</v>
      </c>
      <c r="L159" s="61">
        <f>Summary!L$198+Summary!L$533</f>
        <v>0</v>
      </c>
      <c r="M159" s="61">
        <f>Summary!M$198+Summary!M$533</f>
        <v>0</v>
      </c>
      <c r="N159" s="61">
        <f>Summary!N$198+Summary!N$533</f>
        <v>0</v>
      </c>
      <c r="O159" s="61">
        <f>Summary!O$198+Summary!O$533</f>
        <v>0</v>
      </c>
      <c r="P159" s="61">
        <f>Summary!P$198+Summary!P$533</f>
        <v>0</v>
      </c>
      <c r="Q159" s="134">
        <f t="shared" si="41"/>
        <v>0</v>
      </c>
      <c r="R159" s="134" t="e">
        <f t="shared" si="42"/>
        <v>#DIV/0!</v>
      </c>
      <c r="T159" s="148"/>
      <c r="U159" s="40">
        <f>-IF(Q159-T159=0,0,(Q159-T159)/T159)</f>
        <v>0</v>
      </c>
    </row>
    <row r="160" spans="1:21" s="77" customFormat="1" ht="25.4" hidden="1" customHeight="1">
      <c r="A160" s="3" t="s">
        <v>346</v>
      </c>
      <c r="B160" s="3" t="s">
        <v>368</v>
      </c>
      <c r="C160" s="3"/>
      <c r="D160" s="26" t="s">
        <v>347</v>
      </c>
      <c r="E160" s="61">
        <f>Summary!E$199+Summary!E$534</f>
        <v>0</v>
      </c>
      <c r="F160" s="61">
        <f>Summary!F$199+Summary!F$534</f>
        <v>0</v>
      </c>
      <c r="G160" s="61">
        <f>Summary!G$199+Summary!G$534</f>
        <v>0</v>
      </c>
      <c r="H160" s="61">
        <f>Summary!H$199+Summary!H$534</f>
        <v>0</v>
      </c>
      <c r="I160" s="61">
        <f>Summary!I$199+Summary!I$534</f>
        <v>0</v>
      </c>
      <c r="J160" s="61">
        <f>Summary!J$199+Summary!J$534</f>
        <v>0</v>
      </c>
      <c r="K160" s="61">
        <f>Summary!K$199+Summary!K$534</f>
        <v>0</v>
      </c>
      <c r="L160" s="61">
        <f>Summary!L$199+Summary!L$534</f>
        <v>0</v>
      </c>
      <c r="M160" s="61">
        <f>Summary!M$199+Summary!M$534</f>
        <v>0</v>
      </c>
      <c r="N160" s="61">
        <f>Summary!N$199+Summary!N$534</f>
        <v>0</v>
      </c>
      <c r="O160" s="61">
        <f>Summary!O$199+Summary!O$534</f>
        <v>0</v>
      </c>
      <c r="P160" s="61">
        <f>Summary!P$199+Summary!P$534</f>
        <v>0</v>
      </c>
      <c r="Q160" s="134">
        <f t="shared" si="41"/>
        <v>0</v>
      </c>
      <c r="R160" s="134" t="e">
        <f t="shared" si="42"/>
        <v>#DIV/0!</v>
      </c>
      <c r="T160" s="148"/>
      <c r="U160" s="40">
        <f t="shared" ref="U160:U163" si="44">-IF(Q160-T160=0,0,(Q160-T160)/T160)</f>
        <v>0</v>
      </c>
    </row>
    <row r="161" spans="1:21" s="77" customFormat="1" ht="25.4" customHeight="1">
      <c r="A161" s="3" t="s">
        <v>348</v>
      </c>
      <c r="B161" s="3" t="s">
        <v>368</v>
      </c>
      <c r="C161" s="3"/>
      <c r="D161" s="26" t="s">
        <v>349</v>
      </c>
      <c r="E161" s="61">
        <f>Summary!E$200+Summary!E$535</f>
        <v>0</v>
      </c>
      <c r="F161" s="61">
        <f>Summary!F$200+Summary!F$535</f>
        <v>0</v>
      </c>
      <c r="G161" s="61">
        <f>Summary!G$200+Summary!G$535</f>
        <v>0</v>
      </c>
      <c r="H161" s="61">
        <f>Summary!H$200+Summary!H$535</f>
        <v>0</v>
      </c>
      <c r="I161" s="61">
        <f>Summary!I$200+Summary!I$535</f>
        <v>0</v>
      </c>
      <c r="J161" s="61">
        <f>Summary!J$200+Summary!J$535</f>
        <v>0</v>
      </c>
      <c r="K161" s="61">
        <f>Summary!K$200+Summary!K$535</f>
        <v>0</v>
      </c>
      <c r="L161" s="61">
        <f>Summary!L$200+Summary!L$535</f>
        <v>0</v>
      </c>
      <c r="M161" s="61">
        <f>Summary!M$200+Summary!M$535</f>
        <v>0</v>
      </c>
      <c r="N161" s="61">
        <f>Summary!N$200+Summary!N$535</f>
        <v>0</v>
      </c>
      <c r="O161" s="61">
        <f>Summary!O$200+Summary!O$535</f>
        <v>0</v>
      </c>
      <c r="P161" s="61">
        <f>Summary!P$200+Summary!P$535</f>
        <v>0</v>
      </c>
      <c r="Q161" s="134">
        <f t="shared" si="41"/>
        <v>0</v>
      </c>
      <c r="R161" s="134" t="e">
        <f t="shared" si="42"/>
        <v>#DIV/0!</v>
      </c>
      <c r="T161" s="148"/>
      <c r="U161" s="40">
        <f t="shared" si="44"/>
        <v>0</v>
      </c>
    </row>
    <row r="162" spans="1:21" s="77" customFormat="1" ht="25.4" customHeight="1">
      <c r="A162" s="3"/>
      <c r="B162" s="3"/>
      <c r="C162" s="3"/>
      <c r="D162" s="19" t="s">
        <v>350</v>
      </c>
      <c r="E162" s="151">
        <f>SUM(E155:E161)</f>
        <v>0</v>
      </c>
      <c r="F162" s="151">
        <f t="shared" ref="F162:Q162" si="45">SUM(F155:F161)</f>
        <v>0</v>
      </c>
      <c r="G162" s="151">
        <f t="shared" si="45"/>
        <v>0</v>
      </c>
      <c r="H162" s="151">
        <f t="shared" si="45"/>
        <v>0</v>
      </c>
      <c r="I162" s="151">
        <f t="shared" si="45"/>
        <v>0</v>
      </c>
      <c r="J162" s="151">
        <f t="shared" si="45"/>
        <v>0</v>
      </c>
      <c r="K162" s="151">
        <f t="shared" si="45"/>
        <v>0</v>
      </c>
      <c r="L162" s="151">
        <f t="shared" si="45"/>
        <v>0</v>
      </c>
      <c r="M162" s="151">
        <f t="shared" si="45"/>
        <v>0</v>
      </c>
      <c r="N162" s="151">
        <f t="shared" si="45"/>
        <v>0</v>
      </c>
      <c r="O162" s="151">
        <f t="shared" si="45"/>
        <v>0</v>
      </c>
      <c r="P162" s="151">
        <f t="shared" si="45"/>
        <v>0</v>
      </c>
      <c r="Q162" s="151">
        <f t="shared" si="45"/>
        <v>0</v>
      </c>
      <c r="R162" s="134" t="e">
        <f t="shared" si="42"/>
        <v>#DIV/0!</v>
      </c>
      <c r="T162" s="148"/>
      <c r="U162" s="40">
        <f t="shared" si="44"/>
        <v>0</v>
      </c>
    </row>
    <row r="163" spans="1:21" s="77" customFormat="1" ht="25.4" customHeight="1">
      <c r="A163" s="3"/>
      <c r="B163" s="3"/>
      <c r="C163" s="3"/>
      <c r="D163" s="19" t="s">
        <v>351</v>
      </c>
      <c r="E163" s="151">
        <f>E134+E143+E153+E162</f>
        <v>0</v>
      </c>
      <c r="F163" s="151">
        <f t="shared" ref="F163:Q163" si="46">F134+F143+F153+F162</f>
        <v>0</v>
      </c>
      <c r="G163" s="151">
        <f t="shared" si="46"/>
        <v>0</v>
      </c>
      <c r="H163" s="151">
        <f t="shared" si="46"/>
        <v>0</v>
      </c>
      <c r="I163" s="151">
        <f t="shared" si="46"/>
        <v>0</v>
      </c>
      <c r="J163" s="151">
        <f t="shared" si="46"/>
        <v>0</v>
      </c>
      <c r="K163" s="151">
        <f t="shared" si="46"/>
        <v>0</v>
      </c>
      <c r="L163" s="151">
        <f t="shared" si="46"/>
        <v>0</v>
      </c>
      <c r="M163" s="151">
        <f t="shared" si="46"/>
        <v>0</v>
      </c>
      <c r="N163" s="151">
        <f t="shared" si="46"/>
        <v>0</v>
      </c>
      <c r="O163" s="151">
        <f t="shared" si="46"/>
        <v>0</v>
      </c>
      <c r="P163" s="151">
        <f t="shared" si="46"/>
        <v>0</v>
      </c>
      <c r="Q163" s="151">
        <f t="shared" si="46"/>
        <v>0</v>
      </c>
      <c r="R163" s="134" t="e">
        <f t="shared" si="42"/>
        <v>#DIV/0!</v>
      </c>
      <c r="T163" s="148"/>
      <c r="U163" s="40">
        <f t="shared" si="44"/>
        <v>0</v>
      </c>
    </row>
    <row r="164" spans="1:21" s="42" customFormat="1" ht="25.4" customHeight="1">
      <c r="T164" s="148"/>
      <c r="U164" s="40"/>
    </row>
    <row r="165" spans="1:21" s="77" customFormat="1" ht="25.4" customHeight="1">
      <c r="A165" s="3" t="s">
        <v>108</v>
      </c>
      <c r="B165" s="3" t="s">
        <v>368</v>
      </c>
      <c r="C165" s="3"/>
      <c r="D165" s="19" t="s">
        <v>354</v>
      </c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157">
        <f>SUM(E165:P165)/12</f>
        <v>0</v>
      </c>
      <c r="R165" s="158"/>
      <c r="T165" s="148"/>
      <c r="U165" s="40">
        <f>-IF(Q165-T165=0,0,(Q165-T165)/T165)</f>
        <v>0</v>
      </c>
    </row>
  </sheetData>
  <phoneticPr fontId="56" type="noConversion"/>
  <dataValidations count="64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458670.58_x000d__x000a_" sqref="E12:P12">
      <formula1>0</formula1>
      <formula2>300</formula2>
    </dataValidation>
    <dataValidation type="textLength" errorStyle="information" allowBlank="1" showInputMessage="1" showErrorMessage="1" error="XLBVal:6=44987.9_x000d__x000a_" sqref="E21:P21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8814300_x000d__x000a_" sqref="Q16">
      <formula1>0</formula1>
      <formula2>300</formula2>
    </dataValidation>
    <dataValidation type="textLength" errorStyle="information" allowBlank="1" showInputMessage="1" showErrorMessage="1" error="XLBVal:5=2443234.73_x000d__x000a_" sqref="E29:E30">
      <formula1>0</formula1>
      <formula2>300</formula2>
    </dataValidation>
    <dataValidation type="textLength" errorStyle="information" allowBlank="1" showInputMessage="1" showErrorMessage="1" error="XLBVal:5=1285238.57_x000d__x000a_" sqref="F17:R17 E25:R25 E34:R34 R36 E17:E19">
      <formula1>0</formula1>
      <formula2>300</formula2>
    </dataValidation>
    <dataValidation type="textLength" errorStyle="information" allowBlank="1" showInputMessage="1" showErrorMessage="1" error="XLBVal:6=3973_x000d__x000a_" sqref="E113:P113">
      <formula1>0</formula1>
      <formula2>300</formula2>
    </dataValidation>
    <dataValidation type="textLength" errorStyle="information" allowBlank="1" showInputMessage="1" showErrorMessage="1" error="XLBVal:6=7235.47_x000d__x000a_" sqref="E20:P20">
      <formula1>0</formula1>
      <formula2>300</formula2>
    </dataValidation>
    <dataValidation type="textLength" errorStyle="information" allowBlank="1" showInputMessage="1" showErrorMessage="1" error="XLBVal:5=1616616_x000d__x000a_" sqref="G18:L19">
      <formula1>0</formula1>
      <formula2>300</formula2>
    </dataValidation>
    <dataValidation type="textLength" errorStyle="information" allowBlank="1" showInputMessage="1" showErrorMessage="1" error="XLBVal:6=398000_x000d__x000a_" sqref="Q22">
      <formula1>0</formula1>
      <formula2>300</formula2>
    </dataValidation>
    <dataValidation type="textLength" errorStyle="information" allowBlank="1" showInputMessage="1" showErrorMessage="1" error="XLBVal:6=4423_x000d__x000a_" sqref="E112:P112">
      <formula1>0</formula1>
      <formula2>300</formula2>
    </dataValidation>
    <dataValidation type="textLength" errorStyle="information" allowBlank="1" showInputMessage="1" showErrorMessage="1" error="XLBVal:2=0_x000d__x000a_" sqref="R22 Q23:R23 E24:P24 R24 E33:Q33 E35:L35 E65:P65 E108:R108 E117:R117 E131:R131 Q138:R138 M151:P151 M152:R152 R153 R165 E39:E46 F37:F46 Q12:Q15 R12:R16 R26:R27 R31:R33 R132:R134 R136:R137 E136:P142 R145:R151 R155:R163 Q39:R107 E14:P16 E72:P73 Q20:R21 G39:P46 E151:L152 E67:P70 E48:P53 E76:P93 E55:P63 E96:P105 E155:Q158 E114:P116 Q112:R116 R139:R143">
      <formula1>0</formula1>
      <formula2>300</formula2>
    </dataValidation>
    <dataValidation type="textLength" errorStyle="information" allowBlank="1" showInputMessage="1" showErrorMessage="1" error="XLBVal:6=976708_x000d__x000a_" sqref="Q32">
      <formula1>0</formula1>
      <formula2>300</formula2>
    </dataValidation>
    <dataValidation type="textLength" errorStyle="information" allowBlank="1" showInputMessage="1" showErrorMessage="1" error="XLBVal:6=527000_x000d__x000a_" sqref="Q24">
      <formula1>0</formula1>
      <formula2>300</formula2>
    </dataValidation>
    <dataValidation type="textLength" errorStyle="information" allowBlank="1" showInputMessage="1" showErrorMessage="1" error="XLBVal:6=514.58_x000d__x000a_" sqref="E26:P26 E106:P106">
      <formula1>0</formula1>
      <formula2>300</formula2>
    </dataValidation>
    <dataValidation type="textLength" errorStyle="information" allowBlank="1" showInputMessage="1" showErrorMessage="1" error="XLBVal:6=58036_x000d__x000a_" sqref="Q148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209604.31_x000d__x000a_" sqref="E27:P27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1156536_x000d__x000a_" sqref="Q146">
      <formula1>0</formula1>
      <formula2>300</formula2>
    </dataValidation>
    <dataValidation type="textLength" errorStyle="information" allowBlank="1" showInputMessage="1" showErrorMessage="1" error="XLBVal:6=25196619_x000d__x000a_" sqref="Q31">
      <formula1>0</formula1>
      <formula2>300</formula2>
    </dataValidation>
    <dataValidation type="textLength" errorStyle="information" allowBlank="1" showInputMessage="1" showErrorMessage="1" error="XLBVal:6=21065.12_x000d__x000a_" sqref="E32:P32">
      <formula1>0</formula1>
      <formula2>300</formula2>
    </dataValidation>
    <dataValidation type="textLength" errorStyle="information" allowBlank="1" showInputMessage="1" showErrorMessage="1" error="XLBVal:6=82302.23_x000d__x000a_" sqref="E145:P150">
      <formula1>0</formula1>
      <formula2>300</formula2>
    </dataValidation>
    <dataValidation type="textLength" errorStyle="information" allowBlank="1" showInputMessage="1" showErrorMessage="1" error="XLBVal:6=674288_x000d__x000a_" sqref="Q150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113580_x000d__x000a_" sqref="E47:P47">
      <formula1>0</formula1>
      <formula2>300</formula2>
    </dataValidation>
    <dataValidation type="textLength" errorStyle="information" allowBlank="1" showInputMessage="1" showErrorMessage="1" error="XLBVal:6=7331.48_x000d__x000a_" sqref="E54:P54">
      <formula1>0</formula1>
      <formula2>300</formula2>
    </dataValidation>
    <dataValidation type="textLength" errorStyle="information" allowBlank="1" showInputMessage="1" showErrorMessage="1" error="XLBVal:6=686.44_x000d__x000a_" sqref="E64:P64">
      <formula1>0</formula1>
      <formula2>300</formula2>
    </dataValidation>
    <dataValidation type="textLength" errorStyle="information" allowBlank="1" showInputMessage="1" showErrorMessage="1" error="XLBVal:6=270.6_x000d__x000a_" sqref="E66:P66">
      <formula1>0</formula1>
      <formula2>300</formula2>
    </dataValidation>
    <dataValidation type="textLength" errorStyle="information" allowBlank="1" showInputMessage="1" showErrorMessage="1" error="XLBVal:6=24659.36_x000d__x000a_" sqref="E22:P23">
      <formula1>0</formula1>
      <formula2>300</formula2>
    </dataValidation>
    <dataValidation type="textLength" errorStyle="information" allowBlank="1" showInputMessage="1" showErrorMessage="1" error="XLBVal:6=2660698_x000d__x000a_" sqref="Q145">
      <formula1>0</formula1>
      <formula2>300</formula2>
    </dataValidation>
    <dataValidation type="textLength" errorStyle="information" allowBlank="1" showInputMessage="1" showErrorMessage="1" error="XLBVal:6=2028.3_x000d__x000a_" sqref="E71:P71">
      <formula1>0</formula1>
      <formula2>300</formula2>
    </dataValidation>
    <dataValidation type="textLength" errorStyle="information" allowBlank="1" showInputMessage="1" showErrorMessage="1" error="XLBVal:6=20831.4_x000d__x000a_" sqref="E74:P74">
      <formula1>0</formula1>
      <formula2>300</formula2>
    </dataValidation>
    <dataValidation type="textLength" errorStyle="information" allowBlank="1" showInputMessage="1" showErrorMessage="1" error="XLBVal:6=1415.09_x000d__x000a_" sqref="E75:P75">
      <formula1>0</formula1>
      <formula2>300</formula2>
    </dataValidation>
    <dataValidation type="textLength" errorStyle="information" allowBlank="1" showInputMessage="1" showErrorMessage="1" error="XLBVal:6=1254.81_x000d__x000a_" sqref="E94:P94">
      <formula1>0</formula1>
      <formula2>300</formula2>
    </dataValidation>
    <dataValidation type="textLength" errorStyle="information" allowBlank="1" showInputMessage="1" showErrorMessage="1" error="XLBVal:6=8135.25_x000d__x000a_" sqref="E95:P95">
      <formula1>0</formula1>
      <formula2>300</formula2>
    </dataValidation>
    <dataValidation type="textLength" errorStyle="information" allowBlank="1" showInputMessage="1" showErrorMessage="1" error="XLBVal:6=108592.14_x000d__x000a_" sqref="E107:P107">
      <formula1>0</formula1>
      <formula2>300</formula2>
    </dataValidation>
    <dataValidation type="textLength" errorStyle="information" allowBlank="1" showInputMessage="1" showErrorMessage="1" error="XLBVal:6=0_x000d__x000a_" sqref="E109:R109 Q139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sqref="E118:L118 H126:L126 H127:R127 E164:L164 E120:E130 H128:L130 F126:G130 F120:R125">
      <formula1>0</formula1>
      <formula2>300</formula2>
    </dataValidation>
    <dataValidation type="textLength" errorStyle="information" allowBlank="1" showInputMessage="1" showErrorMessage="1" error="XLBVal:6=72410_x000d__x000a_" sqref="Q147 Q149">
      <formula1>0</formula1>
      <formula2>300</formula2>
    </dataValidation>
    <dataValidation type="textLength" errorStyle="information" allowBlank="1" showInputMessage="1" showErrorMessage="1" error="XLBVal:6=10357878_x000d__x000a_" sqref="Q132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6=4775842_x000d__x000a_" sqref="Q133">
      <formula1>0</formula1>
      <formula2>300</formula2>
    </dataValidation>
    <dataValidation type="textLength" errorStyle="information" allowBlank="1" showInputMessage="1" showErrorMessage="1" error="XLBVal:6=995082_x000d__x000a_" sqref="Q136 Q141:Q142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2981580_x000d__x000a_" sqref="Q137">
      <formula1>0</formula1>
      <formula2>300</formula2>
    </dataValidation>
    <dataValidation type="textLength" errorStyle="information" allowBlank="1" showInputMessage="1" showErrorMessage="1" error="XLBVal:6=276828_x000d__x000a_" sqref="Q140">
      <formula1>0</formula1>
      <formula2>300</formula2>
    </dataValidation>
    <dataValidation type="textLength" errorStyle="information" allowBlank="1" showInputMessage="1" showErrorMessage="1" error="XLBVal:6=3678_x000d__x000a_" sqref="E154:L154">
      <formula1>0</formula1>
      <formula2>300</formula2>
    </dataValidation>
    <dataValidation type="textLength" errorStyle="information" allowBlank="1" showInputMessage="1" showErrorMessage="1" error="XLBVal:6=466100_x000d__x000a_" sqref="Q151">
      <formula1>0</formula1>
      <formula2>300</formula2>
    </dataValidation>
    <dataValidation type="textLength" errorStyle="information" allowBlank="1" showInputMessage="1" showErrorMessage="1" error="XLBVal:6=489912_x000d__x000a_" sqref="Q159">
      <formula1>0</formula1>
      <formula2>300</formula2>
    </dataValidation>
    <dataValidation type="textLength" errorStyle="information" allowBlank="1" showInputMessage="1" showErrorMessage="1" error="XLBVal:6=1339532_x000d__x000a_" sqref="Q160">
      <formula1>0</formula1>
      <formula2>300</formula2>
    </dataValidation>
    <dataValidation type="textLength" errorStyle="information" allowBlank="1" showInputMessage="1" showErrorMessage="1" error="XLBVal:6=4605894_x000d__x000a_" sqref="Q161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5=0_x000d__x000a_" sqref="F18:F19 F29:F30">
      <formula1>0</formula1>
      <formula2>300</formula2>
    </dataValidation>
    <dataValidation type="textLength" errorStyle="information" allowBlank="1" showInputMessage="1" showErrorMessage="1" error="XLBVal:5=3384188.86_x000d__x000a_" sqref="G29:L30">
      <formula1>0</formula1>
      <formula2>300</formula2>
    </dataValidation>
    <dataValidation type="textLength" errorStyle="information" allowBlank="1" showInputMessage="1" showErrorMessage="1" error="XLBVal:6=6595485.04_x000d__x000a_" sqref="G37:L38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67"/>
  <sheetViews>
    <sheetView zoomScale="55" zoomScaleNormal="55" zoomScaleSheetLayoutView="45" workbookViewId="0">
      <pane xSplit="4" ySplit="10" topLeftCell="G91" activePane="bottomRight" state="frozen"/>
      <selection activeCell="Q163" sqref="Q163"/>
      <selection pane="topRight" activeCell="Q163" sqref="Q163"/>
      <selection pane="bottomLeft" activeCell="Q163" sqref="Q163"/>
      <selection pane="bottomRight" activeCell="H81" sqref="H81"/>
    </sheetView>
  </sheetViews>
  <sheetFormatPr defaultColWidth="8.90625" defaultRowHeight="26.25" customHeight="1" outlineLevelRow="1" outlineLevelCol="1"/>
  <cols>
    <col min="1" max="2" width="15.453125" style="5" hidden="1" customWidth="1" outlineLevel="1"/>
    <col min="3" max="3" width="59.08984375" style="5" hidden="1" customWidth="1" outlineLevel="1"/>
    <col min="4" max="4" width="74" style="17" customWidth="1" collapsed="1"/>
    <col min="5" max="5" width="25.08984375" style="25" customWidth="1"/>
    <col min="6" max="6" width="22.453125" style="25" customWidth="1"/>
    <col min="7" max="7" width="26.453125" style="25" customWidth="1"/>
    <col min="8" max="8" width="24.453125" style="25" customWidth="1"/>
    <col min="9" max="9" width="25.453125" style="25" customWidth="1"/>
    <col min="10" max="11" width="22.453125" style="77" customWidth="1"/>
    <col min="12" max="12" width="22.453125" style="3" customWidth="1"/>
    <col min="13" max="16" width="25.453125" style="77" customWidth="1"/>
    <col min="17" max="17" width="26.36328125" style="77" bestFit="1" customWidth="1"/>
    <col min="18" max="18" width="16.90625" style="139" customWidth="1"/>
    <col min="19" max="19" width="22.453125" style="140" hidden="1" customWidth="1"/>
    <col min="20" max="20" width="22.453125" style="139" hidden="1" customWidth="1"/>
    <col min="21" max="21" width="25.90625" style="139" customWidth="1"/>
    <col min="22" max="16384" width="8.90625" style="139"/>
  </cols>
  <sheetData>
    <row r="1" spans="1:20" s="1" customFormat="1" ht="15" customHeight="1" outlineLevel="1">
      <c r="D1" s="288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9"/>
      <c r="S1" s="32"/>
    </row>
    <row r="2" spans="1:20" s="1" customFormat="1" ht="15" customHeight="1" outlineLevel="1">
      <c r="D2" s="288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9"/>
      <c r="S2" s="32"/>
    </row>
    <row r="3" spans="1:20" s="1" customFormat="1" ht="15" customHeight="1" outlineLevel="1">
      <c r="D3" s="288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9"/>
      <c r="S3" s="32"/>
    </row>
    <row r="4" spans="1:20" s="138" customFormat="1" ht="25.4" customHeight="1">
      <c r="D4" s="290" t="str">
        <f>Summary!$D$4</f>
        <v>Hotel Budget Report</v>
      </c>
      <c r="E4" s="291"/>
      <c r="F4" s="291"/>
      <c r="G4" s="292"/>
      <c r="H4" s="293"/>
      <c r="I4" s="293"/>
      <c r="J4" s="77"/>
      <c r="K4" s="77"/>
      <c r="L4" s="3"/>
      <c r="M4" s="77"/>
      <c r="N4" s="77"/>
      <c r="O4" s="77"/>
      <c r="P4" s="77"/>
      <c r="Q4" s="77"/>
      <c r="S4" s="147"/>
    </row>
    <row r="5" spans="1:20" s="138" customFormat="1" ht="25.4" customHeight="1">
      <c r="D5" s="290" t="str">
        <f>Summary!$D$5</f>
        <v>酒店预算报表</v>
      </c>
      <c r="E5" s="291"/>
      <c r="F5" s="291"/>
      <c r="G5" s="292"/>
      <c r="H5" s="293"/>
      <c r="I5" s="293"/>
      <c r="J5" s="77"/>
      <c r="K5" s="77"/>
      <c r="L5" s="3"/>
      <c r="M5" s="77"/>
      <c r="N5" s="77"/>
      <c r="O5" s="77"/>
      <c r="P5" s="77"/>
      <c r="Q5" s="77"/>
      <c r="S5" s="147"/>
    </row>
    <row r="6" spans="1:20" s="138" customFormat="1" ht="25.4" customHeight="1">
      <c r="D6" s="290" t="s">
        <v>634</v>
      </c>
      <c r="E6" s="293"/>
      <c r="F6" s="293"/>
      <c r="G6" s="293"/>
      <c r="H6" s="293"/>
      <c r="I6" s="293"/>
      <c r="J6" s="77"/>
      <c r="K6" s="77"/>
      <c r="L6" s="3"/>
      <c r="M6" s="77"/>
      <c r="N6" s="77"/>
      <c r="O6" s="77"/>
      <c r="P6" s="77"/>
      <c r="Q6" s="77"/>
      <c r="S6" s="147"/>
    </row>
    <row r="7" spans="1:20" s="138" customFormat="1" ht="25.4" customHeight="1">
      <c r="D7" s="204">
        <f>Parameter!H4</f>
        <v>2025</v>
      </c>
      <c r="E7" s="293"/>
      <c r="F7" s="293"/>
      <c r="G7" s="293"/>
      <c r="H7" s="293"/>
      <c r="I7" s="293"/>
      <c r="J7" s="77"/>
      <c r="K7" s="77"/>
      <c r="L7" s="3"/>
      <c r="M7" s="77"/>
      <c r="N7" s="77"/>
      <c r="O7" s="77"/>
      <c r="P7" s="77"/>
      <c r="Q7" s="77"/>
      <c r="S7" s="147"/>
    </row>
    <row r="8" spans="1:20" ht="25.4" customHeight="1">
      <c r="A8" s="139"/>
      <c r="B8" s="139"/>
      <c r="C8" s="139"/>
      <c r="D8" s="290"/>
      <c r="E8" s="293"/>
      <c r="F8" s="293"/>
      <c r="G8" s="293"/>
      <c r="H8" s="293"/>
      <c r="I8" s="293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/>
      <c r="S9" s="148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1073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367</v>
      </c>
      <c r="B12" s="3" t="s">
        <v>635</v>
      </c>
      <c r="C12" s="3"/>
      <c r="D12" s="26" t="s">
        <v>636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367</v>
      </c>
      <c r="B13" s="3" t="s">
        <v>637</v>
      </c>
      <c r="C13" s="3"/>
      <c r="D13" s="26" t="s">
        <v>638</v>
      </c>
      <c r="E13" s="63">
        <v>275200</v>
      </c>
      <c r="F13" s="63"/>
      <c r="G13" s="63">
        <v>467840</v>
      </c>
      <c r="H13" s="63">
        <v>206400</v>
      </c>
      <c r="I13" s="63">
        <v>709200</v>
      </c>
      <c r="J13" s="63">
        <v>412800</v>
      </c>
      <c r="K13" s="63">
        <v>344000</v>
      </c>
      <c r="L13" s="63">
        <v>344000</v>
      </c>
      <c r="M13" s="63"/>
      <c r="N13" s="63">
        <v>1260800</v>
      </c>
      <c r="O13" s="63">
        <v>825600</v>
      </c>
      <c r="P13" s="63">
        <v>412800</v>
      </c>
      <c r="Q13" s="146">
        <f t="shared" ref="Q13:Q16" si="0">SUM(E13:P13)</f>
        <v>5258640</v>
      </c>
      <c r="R13" s="134"/>
      <c r="S13" s="148"/>
      <c r="T13" s="40" t="e">
        <f t="shared" ref="T13:T29" si="1">IF(Q13-S13=0,0,(Q13-S13)/S13)</f>
        <v>#DIV/0!</v>
      </c>
    </row>
    <row r="14" spans="1:20" s="77" customFormat="1" ht="25.4" customHeight="1">
      <c r="A14" s="50" t="s">
        <v>367</v>
      </c>
      <c r="B14" s="3" t="s">
        <v>639</v>
      </c>
      <c r="C14" s="3"/>
      <c r="D14" s="26" t="s">
        <v>640</v>
      </c>
      <c r="E14" s="63">
        <v>262500</v>
      </c>
      <c r="F14" s="63"/>
      <c r="G14" s="63">
        <v>175000</v>
      </c>
      <c r="H14" s="63">
        <v>80000</v>
      </c>
      <c r="I14" s="63">
        <v>80000</v>
      </c>
      <c r="J14" s="63">
        <v>225000</v>
      </c>
      <c r="K14" s="63">
        <v>150000</v>
      </c>
      <c r="L14" s="63">
        <v>30000</v>
      </c>
      <c r="M14" s="63"/>
      <c r="N14" s="63">
        <v>140000</v>
      </c>
      <c r="O14" s="63">
        <v>262500</v>
      </c>
      <c r="P14" s="63">
        <v>350000</v>
      </c>
      <c r="Q14" s="146">
        <f t="shared" si="0"/>
        <v>1755000</v>
      </c>
      <c r="R14" s="134"/>
      <c r="S14" s="148"/>
      <c r="T14" s="40" t="e">
        <f t="shared" si="1"/>
        <v>#DIV/0!</v>
      </c>
    </row>
    <row r="15" spans="1:20" s="77" customFormat="1" ht="25.4" customHeight="1">
      <c r="A15" s="50" t="s">
        <v>367</v>
      </c>
      <c r="B15" s="3" t="s">
        <v>641</v>
      </c>
      <c r="C15" s="3"/>
      <c r="D15" s="26" t="s">
        <v>642</v>
      </c>
      <c r="E15" s="63">
        <v>147000</v>
      </c>
      <c r="F15" s="63">
        <v>24500</v>
      </c>
      <c r="G15" s="63">
        <v>364000</v>
      </c>
      <c r="H15" s="63">
        <v>339200</v>
      </c>
      <c r="I15" s="63">
        <v>204800</v>
      </c>
      <c r="J15" s="63">
        <v>204000</v>
      </c>
      <c r="K15" s="63">
        <v>216000</v>
      </c>
      <c r="L15" s="63">
        <v>108000</v>
      </c>
      <c r="M15" s="63">
        <v>111000</v>
      </c>
      <c r="N15" s="63">
        <v>504000</v>
      </c>
      <c r="O15" s="63">
        <v>511000</v>
      </c>
      <c r="P15" s="63">
        <v>525000</v>
      </c>
      <c r="Q15" s="146">
        <f t="shared" si="0"/>
        <v>3258500</v>
      </c>
      <c r="R15" s="134"/>
      <c r="S15" s="148"/>
      <c r="T15" s="40" t="e">
        <f t="shared" si="1"/>
        <v>#DIV/0!</v>
      </c>
    </row>
    <row r="16" spans="1:20" s="77" customFormat="1" ht="25.4" customHeight="1">
      <c r="A16" s="50" t="s">
        <v>367</v>
      </c>
      <c r="B16" s="3" t="s">
        <v>643</v>
      </c>
      <c r="C16" s="3"/>
      <c r="D16" s="26" t="s">
        <v>644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/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146">
        <f t="shared" si="0"/>
        <v>0</v>
      </c>
      <c r="R16" s="134"/>
      <c r="S16" s="148"/>
      <c r="T16" s="40">
        <f>IF(S16&lt;&gt;0,(Q16-S16)/S16,1)</f>
        <v>1</v>
      </c>
    </row>
    <row r="17" spans="1:21" s="77" customFormat="1" ht="25.4" customHeight="1">
      <c r="A17" s="3"/>
      <c r="B17" s="3"/>
      <c r="C17" s="3"/>
      <c r="D17" s="21" t="s">
        <v>1074</v>
      </c>
      <c r="E17" s="45">
        <f>SUM(E12:E16)</f>
        <v>684700</v>
      </c>
      <c r="F17" s="45">
        <f t="shared" ref="F17:P17" si="2">SUM(F12:F16)</f>
        <v>24500</v>
      </c>
      <c r="G17" s="45">
        <f t="shared" si="2"/>
        <v>1006840</v>
      </c>
      <c r="H17" s="45">
        <f t="shared" si="2"/>
        <v>625600</v>
      </c>
      <c r="I17" s="45">
        <f t="shared" si="2"/>
        <v>994000</v>
      </c>
      <c r="J17" s="45">
        <f t="shared" si="2"/>
        <v>841800</v>
      </c>
      <c r="K17" s="45">
        <f t="shared" si="2"/>
        <v>710000</v>
      </c>
      <c r="L17" s="45">
        <f t="shared" si="2"/>
        <v>482000</v>
      </c>
      <c r="M17" s="45">
        <f t="shared" si="2"/>
        <v>111000</v>
      </c>
      <c r="N17" s="45">
        <f t="shared" si="2"/>
        <v>1904800</v>
      </c>
      <c r="O17" s="45">
        <f t="shared" si="2"/>
        <v>1599100</v>
      </c>
      <c r="P17" s="45">
        <f t="shared" si="2"/>
        <v>1287800</v>
      </c>
      <c r="Q17" s="45">
        <f t="shared" ref="Q17" si="3">SUM(Q12:Q16)</f>
        <v>10272140</v>
      </c>
      <c r="R17" s="45"/>
      <c r="S17" s="148"/>
      <c r="T17" s="40" t="e">
        <f t="shared" si="1"/>
        <v>#DIV/0!</v>
      </c>
    </row>
    <row r="18" spans="1:21" s="77" customFormat="1" ht="25.4" customHeight="1">
      <c r="A18" s="3"/>
      <c r="B18" s="3"/>
      <c r="C18" s="3"/>
      <c r="D18" s="26"/>
      <c r="E18" s="106"/>
      <c r="F18" s="24"/>
      <c r="G18" s="106"/>
      <c r="H18" s="106"/>
      <c r="I18" s="106"/>
      <c r="J18" s="106"/>
      <c r="K18" s="106"/>
      <c r="L18" s="106"/>
      <c r="S18" s="148"/>
      <c r="T18" s="40"/>
    </row>
    <row r="19" spans="1:21" s="77" customFormat="1" ht="25.4" customHeight="1">
      <c r="A19" s="3"/>
      <c r="B19" s="3"/>
      <c r="C19" s="3"/>
      <c r="D19" s="21" t="s">
        <v>1075</v>
      </c>
      <c r="E19" s="106"/>
      <c r="F19" s="63"/>
      <c r="G19" s="63"/>
      <c r="H19" s="63"/>
      <c r="I19" s="63"/>
      <c r="J19" s="63"/>
      <c r="K19" s="63"/>
      <c r="L19" s="63"/>
      <c r="S19" s="148"/>
      <c r="T19" s="40"/>
    </row>
    <row r="20" spans="1:21" s="77" customFormat="1" ht="25.4" customHeight="1">
      <c r="A20" s="50" t="s">
        <v>399</v>
      </c>
      <c r="B20" s="3" t="s">
        <v>635</v>
      </c>
      <c r="C20" s="3"/>
      <c r="D20" s="26" t="s">
        <v>636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134">
        <f>SUM(E20:P20)</f>
        <v>0</v>
      </c>
      <c r="R20" s="134"/>
      <c r="S20" s="148"/>
      <c r="T20" s="40">
        <f t="shared" si="1"/>
        <v>0</v>
      </c>
    </row>
    <row r="21" spans="1:21" s="77" customFormat="1" ht="25.4" customHeight="1">
      <c r="A21" s="50" t="s">
        <v>399</v>
      </c>
      <c r="B21" s="3" t="s">
        <v>637</v>
      </c>
      <c r="C21" s="3"/>
      <c r="D21" s="26" t="s">
        <v>638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134">
        <f t="shared" ref="Q21:Q24" si="4">SUM(E21:P21)</f>
        <v>0</v>
      </c>
      <c r="R21" s="134"/>
      <c r="S21" s="148"/>
      <c r="T21" s="40">
        <f t="shared" si="1"/>
        <v>0</v>
      </c>
    </row>
    <row r="22" spans="1:21" s="77" customFormat="1" ht="25.4" customHeight="1">
      <c r="A22" s="50" t="s">
        <v>399</v>
      </c>
      <c r="B22" s="3" t="s">
        <v>639</v>
      </c>
      <c r="C22" s="3"/>
      <c r="D22" s="26" t="s">
        <v>640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134">
        <f t="shared" si="4"/>
        <v>0</v>
      </c>
      <c r="R22" s="134"/>
      <c r="S22" s="148"/>
      <c r="T22" s="40">
        <f t="shared" si="1"/>
        <v>0</v>
      </c>
    </row>
    <row r="23" spans="1:21" s="77" customFormat="1" ht="25.4" customHeight="1">
      <c r="A23" s="50" t="s">
        <v>399</v>
      </c>
      <c r="B23" s="3" t="s">
        <v>641</v>
      </c>
      <c r="C23" s="3"/>
      <c r="D23" s="26" t="s">
        <v>642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134">
        <f t="shared" si="4"/>
        <v>0</v>
      </c>
      <c r="R23" s="134"/>
      <c r="S23" s="148"/>
      <c r="T23" s="40">
        <f t="shared" si="1"/>
        <v>0</v>
      </c>
    </row>
    <row r="24" spans="1:21" s="77" customFormat="1" ht="25.4" customHeight="1">
      <c r="A24" s="50" t="s">
        <v>399</v>
      </c>
      <c r="B24" s="3" t="s">
        <v>643</v>
      </c>
      <c r="C24" s="3"/>
      <c r="D24" s="26" t="s">
        <v>644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134">
        <f t="shared" si="4"/>
        <v>0</v>
      </c>
      <c r="R24" s="134"/>
      <c r="S24" s="148"/>
      <c r="T24" s="40">
        <f>IF(S24&lt;&gt;0,(Q24-S24)/S24,1)</f>
        <v>1</v>
      </c>
    </row>
    <row r="25" spans="1:21" s="77" customFormat="1" ht="25.4" customHeight="1">
      <c r="A25" s="3"/>
      <c r="B25" s="3"/>
      <c r="C25" s="3"/>
      <c r="D25" s="21" t="s">
        <v>1076</v>
      </c>
      <c r="E25" s="45">
        <f>SUM(E20:E24)</f>
        <v>0</v>
      </c>
      <c r="F25" s="45">
        <f t="shared" ref="F25:Q25" si="5">SUM(F20:F24)</f>
        <v>0</v>
      </c>
      <c r="G25" s="45">
        <f t="shared" si="5"/>
        <v>0</v>
      </c>
      <c r="H25" s="45">
        <f t="shared" si="5"/>
        <v>0</v>
      </c>
      <c r="I25" s="45">
        <f t="shared" si="5"/>
        <v>0</v>
      </c>
      <c r="J25" s="45">
        <f t="shared" si="5"/>
        <v>0</v>
      </c>
      <c r="K25" s="45">
        <f t="shared" si="5"/>
        <v>0</v>
      </c>
      <c r="L25" s="45">
        <f t="shared" si="5"/>
        <v>0</v>
      </c>
      <c r="M25" s="45">
        <f t="shared" si="5"/>
        <v>0</v>
      </c>
      <c r="N25" s="45">
        <f t="shared" si="5"/>
        <v>0</v>
      </c>
      <c r="O25" s="45">
        <f t="shared" si="5"/>
        <v>0</v>
      </c>
      <c r="P25" s="45">
        <f t="shared" si="5"/>
        <v>0</v>
      </c>
      <c r="Q25" s="45">
        <f t="shared" si="5"/>
        <v>0</v>
      </c>
      <c r="R25" s="45"/>
      <c r="S25" s="148"/>
      <c r="T25" s="40">
        <f t="shared" si="1"/>
        <v>0</v>
      </c>
    </row>
    <row r="26" spans="1:21" s="77" customFormat="1" ht="25.4" customHeight="1">
      <c r="A26" s="50" t="s">
        <v>402</v>
      </c>
      <c r="B26" s="3" t="s">
        <v>645</v>
      </c>
      <c r="C26" s="3"/>
      <c r="D26" s="26" t="s">
        <v>1077</v>
      </c>
      <c r="E26" s="63">
        <v>75000</v>
      </c>
      <c r="F26" s="63">
        <v>8000</v>
      </c>
      <c r="G26" s="63">
        <v>60000</v>
      </c>
      <c r="H26" s="63">
        <v>60000</v>
      </c>
      <c r="I26" s="63">
        <v>50000</v>
      </c>
      <c r="J26" s="63">
        <v>100000</v>
      </c>
      <c r="K26" s="63">
        <v>50000</v>
      </c>
      <c r="L26" s="63">
        <v>16000</v>
      </c>
      <c r="M26" s="63">
        <v>15000</v>
      </c>
      <c r="N26" s="63">
        <v>120000</v>
      </c>
      <c r="O26" s="63">
        <v>120000</v>
      </c>
      <c r="P26" s="63">
        <v>150000</v>
      </c>
      <c r="Q26" s="134">
        <f>SUM(E26:P26)</f>
        <v>824000</v>
      </c>
      <c r="R26" s="134"/>
      <c r="S26" s="148"/>
      <c r="T26" s="40" t="e">
        <f t="shared" si="1"/>
        <v>#DIV/0!</v>
      </c>
    </row>
    <row r="27" spans="1:21" s="77" customFormat="1" ht="25.4" customHeight="1">
      <c r="A27" s="50" t="s">
        <v>646</v>
      </c>
      <c r="B27" s="3" t="s">
        <v>645</v>
      </c>
      <c r="C27" s="3"/>
      <c r="D27" s="26" t="s">
        <v>1078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134">
        <f>SUM(E27:P27)</f>
        <v>0</v>
      </c>
      <c r="R27" s="134"/>
      <c r="S27" s="148"/>
      <c r="T27" s="40">
        <f>IF(S27&lt;&gt;0,(Q27-S27)/S27,1)</f>
        <v>1</v>
      </c>
    </row>
    <row r="28" spans="1:21" s="77" customFormat="1" ht="25.4" customHeight="1">
      <c r="A28" s="50" t="s">
        <v>128</v>
      </c>
      <c r="B28" s="3" t="s">
        <v>645</v>
      </c>
      <c r="C28" s="3"/>
      <c r="D28" s="26" t="s">
        <v>1079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134">
        <f>SUM(E28:P28)</f>
        <v>0</v>
      </c>
      <c r="R28" s="134"/>
      <c r="S28" s="148"/>
      <c r="T28" s="40">
        <f t="shared" si="1"/>
        <v>0</v>
      </c>
    </row>
    <row r="29" spans="1:21" s="77" customFormat="1" ht="25.4" customHeight="1">
      <c r="A29" s="50"/>
      <c r="B29" s="3"/>
      <c r="C29" s="3"/>
      <c r="D29" s="21" t="s">
        <v>1080</v>
      </c>
      <c r="E29" s="45">
        <f>E17+E25+E26+E27+E28</f>
        <v>759700</v>
      </c>
      <c r="F29" s="45">
        <f t="shared" ref="F29:Q29" si="6">F17+F25+F26+F27+F28</f>
        <v>32500</v>
      </c>
      <c r="G29" s="45">
        <f t="shared" si="6"/>
        <v>1066840</v>
      </c>
      <c r="H29" s="45">
        <f t="shared" si="6"/>
        <v>685600</v>
      </c>
      <c r="I29" s="45">
        <f t="shared" si="6"/>
        <v>1044000</v>
      </c>
      <c r="J29" s="45">
        <f t="shared" si="6"/>
        <v>941800</v>
      </c>
      <c r="K29" s="45">
        <f t="shared" si="6"/>
        <v>760000</v>
      </c>
      <c r="L29" s="45">
        <f t="shared" si="6"/>
        <v>498000</v>
      </c>
      <c r="M29" s="45">
        <f t="shared" si="6"/>
        <v>126000</v>
      </c>
      <c r="N29" s="45">
        <f t="shared" si="6"/>
        <v>2024800</v>
      </c>
      <c r="O29" s="45">
        <f t="shared" si="6"/>
        <v>1719100</v>
      </c>
      <c r="P29" s="45">
        <f t="shared" si="6"/>
        <v>1437800</v>
      </c>
      <c r="Q29" s="360">
        <f t="shared" si="6"/>
        <v>11096140</v>
      </c>
      <c r="R29" s="45"/>
      <c r="S29" s="148"/>
      <c r="T29" s="40" t="e">
        <f t="shared" si="1"/>
        <v>#DIV/0!</v>
      </c>
    </row>
    <row r="30" spans="1:21" s="77" customFormat="1" ht="25.4" customHeight="1">
      <c r="A30" s="50"/>
      <c r="B30" s="3"/>
      <c r="C30" s="3"/>
      <c r="D30" s="26"/>
      <c r="E30" s="63"/>
      <c r="F30" s="63"/>
      <c r="G30" s="63"/>
      <c r="H30" s="63"/>
      <c r="I30" s="63"/>
      <c r="J30" s="63"/>
      <c r="K30" s="63"/>
      <c r="L30" s="63"/>
      <c r="S30" s="148"/>
      <c r="T30" s="40"/>
    </row>
    <row r="31" spans="1:21" s="77" customFormat="1" ht="25.4" customHeight="1">
      <c r="A31" s="50"/>
      <c r="B31" s="3"/>
      <c r="C31" s="3"/>
      <c r="D31" s="21" t="s">
        <v>411</v>
      </c>
      <c r="E31" s="63"/>
      <c r="F31" s="63"/>
      <c r="G31" s="63"/>
      <c r="H31" s="63"/>
      <c r="I31" s="63"/>
      <c r="J31" s="63"/>
      <c r="K31" s="63"/>
      <c r="L31" s="63"/>
      <c r="S31" s="148"/>
      <c r="T31" s="40"/>
    </row>
    <row r="32" spans="1:21" s="77" customFormat="1" ht="25.4" customHeight="1">
      <c r="A32" s="50" t="s">
        <v>412</v>
      </c>
      <c r="B32" s="3" t="s">
        <v>645</v>
      </c>
      <c r="C32" s="3"/>
      <c r="D32" s="26" t="s">
        <v>413</v>
      </c>
      <c r="E32" s="63">
        <f>ROUND(E17*34%,2)</f>
        <v>232798</v>
      </c>
      <c r="F32" s="63">
        <f t="shared" ref="F32:P32" si="7">ROUND(F17*34%,2)</f>
        <v>8330</v>
      </c>
      <c r="G32" s="63">
        <f t="shared" si="7"/>
        <v>342325.6</v>
      </c>
      <c r="H32" s="63">
        <f t="shared" si="7"/>
        <v>212704</v>
      </c>
      <c r="I32" s="63">
        <f t="shared" si="7"/>
        <v>337960</v>
      </c>
      <c r="J32" s="63">
        <f t="shared" si="7"/>
        <v>286212</v>
      </c>
      <c r="K32" s="63">
        <f t="shared" si="7"/>
        <v>241400</v>
      </c>
      <c r="L32" s="63">
        <f t="shared" si="7"/>
        <v>163880</v>
      </c>
      <c r="M32" s="63">
        <f t="shared" si="7"/>
        <v>37740</v>
      </c>
      <c r="N32" s="63">
        <f t="shared" si="7"/>
        <v>647632</v>
      </c>
      <c r="O32" s="63">
        <f t="shared" si="7"/>
        <v>543694</v>
      </c>
      <c r="P32" s="63">
        <f t="shared" si="7"/>
        <v>437852</v>
      </c>
      <c r="Q32" s="134">
        <f>SUM(E32:P32)</f>
        <v>3492527.6</v>
      </c>
      <c r="R32" s="159">
        <f>Q32/Q17</f>
        <v>0.34</v>
      </c>
      <c r="S32" s="148"/>
      <c r="T32" s="40" t="e">
        <f>-IF(Q32-S32=0,0,(Q32-S32)/S32)</f>
        <v>#DIV/0!</v>
      </c>
      <c r="U32" s="319"/>
    </row>
    <row r="33" spans="1:20" s="77" customFormat="1" ht="25.4" customHeight="1">
      <c r="A33" s="3" t="s">
        <v>414</v>
      </c>
      <c r="B33" s="3" t="s">
        <v>645</v>
      </c>
      <c r="C33" s="3"/>
      <c r="D33" s="26" t="s">
        <v>415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134">
        <f t="shared" ref="Q33:Q34" si="8">SUM(E33:P33)</f>
        <v>0</v>
      </c>
      <c r="R33" s="159">
        <f>IF(Q25=0,0,Q33/Q25)</f>
        <v>0</v>
      </c>
      <c r="S33" s="148"/>
      <c r="T33" s="40">
        <f t="shared" ref="T33:T96" si="9">-IF(Q33-S33=0,0,(Q33-S33)/S33)</f>
        <v>0</v>
      </c>
    </row>
    <row r="34" spans="1:20" s="77" customFormat="1" ht="25.4" customHeight="1">
      <c r="A34" s="3" t="s">
        <v>454</v>
      </c>
      <c r="B34" s="3" t="s">
        <v>645</v>
      </c>
      <c r="C34" s="3"/>
      <c r="D34" s="26" t="s">
        <v>1081</v>
      </c>
      <c r="E34" s="63"/>
      <c r="F34" s="63"/>
      <c r="G34" s="63"/>
      <c r="H34" s="63"/>
      <c r="I34" s="63"/>
      <c r="J34" s="63"/>
      <c r="K34" s="63"/>
      <c r="L34" s="63"/>
      <c r="M34" s="27"/>
      <c r="N34" s="27"/>
      <c r="O34" s="27"/>
      <c r="P34" s="27"/>
      <c r="Q34" s="134">
        <f t="shared" si="8"/>
        <v>0</v>
      </c>
      <c r="R34" s="159">
        <f>IF(Q27=0,0,Q34/Q27)</f>
        <v>0</v>
      </c>
      <c r="S34" s="148"/>
      <c r="T34" s="40">
        <f t="shared" si="9"/>
        <v>0</v>
      </c>
    </row>
    <row r="35" spans="1:20" s="77" customFormat="1" ht="25.4" customHeight="1">
      <c r="A35" s="3"/>
      <c r="B35" s="3"/>
      <c r="C35" s="3"/>
      <c r="D35" s="21" t="s">
        <v>1082</v>
      </c>
      <c r="E35" s="45">
        <f>+SUM(E32:E34)</f>
        <v>232798</v>
      </c>
      <c r="F35" s="45">
        <f t="shared" ref="F35:P35" si="10">+SUM(F32:F34)</f>
        <v>8330</v>
      </c>
      <c r="G35" s="45">
        <f t="shared" si="10"/>
        <v>342325.6</v>
      </c>
      <c r="H35" s="45">
        <f t="shared" si="10"/>
        <v>212704</v>
      </c>
      <c r="I35" s="45">
        <f t="shared" si="10"/>
        <v>337960</v>
      </c>
      <c r="J35" s="45">
        <f t="shared" si="10"/>
        <v>286212</v>
      </c>
      <c r="K35" s="45">
        <f t="shared" si="10"/>
        <v>241400</v>
      </c>
      <c r="L35" s="45">
        <f t="shared" si="10"/>
        <v>163880</v>
      </c>
      <c r="M35" s="45">
        <f t="shared" si="10"/>
        <v>37740</v>
      </c>
      <c r="N35" s="45">
        <f t="shared" si="10"/>
        <v>647632</v>
      </c>
      <c r="O35" s="45">
        <f t="shared" si="10"/>
        <v>543694</v>
      </c>
      <c r="P35" s="45">
        <f t="shared" si="10"/>
        <v>437852</v>
      </c>
      <c r="Q35" s="45">
        <f>SUM(Q32:Q34)</f>
        <v>3492527.6</v>
      </c>
      <c r="R35" s="149">
        <f>Q35/$Q$29</f>
        <v>0.31475158027926831</v>
      </c>
      <c r="S35" s="148"/>
      <c r="T35" s="40" t="e">
        <f t="shared" si="9"/>
        <v>#DIV/0!</v>
      </c>
    </row>
    <row r="36" spans="1:20" s="77" customFormat="1" ht="25.4" customHeight="1">
      <c r="A36" s="3"/>
      <c r="B36" s="3"/>
      <c r="C36" s="3"/>
      <c r="D36" s="26"/>
      <c r="E36" s="63"/>
      <c r="F36" s="63"/>
      <c r="G36" s="63"/>
      <c r="H36" s="63"/>
      <c r="I36" s="63"/>
      <c r="J36" s="63"/>
      <c r="K36" s="63"/>
      <c r="L36" s="63"/>
      <c r="Q36" s="150"/>
      <c r="S36" s="148"/>
      <c r="T36" s="40"/>
    </row>
    <row r="37" spans="1:20" s="77" customFormat="1" ht="25.4" customHeight="1">
      <c r="A37" s="3" t="s">
        <v>106</v>
      </c>
      <c r="B37" s="3" t="s">
        <v>645</v>
      </c>
      <c r="C37" s="3"/>
      <c r="D37" s="21" t="s">
        <v>1083</v>
      </c>
      <c r="E37" s="45">
        <f>+E164</f>
        <v>235625.51</v>
      </c>
      <c r="F37" s="45">
        <f t="shared" ref="F37:P37" si="11">+F164</f>
        <v>44924.39</v>
      </c>
      <c r="G37" s="45">
        <f t="shared" si="11"/>
        <v>253782.59</v>
      </c>
      <c r="H37" s="45">
        <f t="shared" si="11"/>
        <v>209834.8</v>
      </c>
      <c r="I37" s="45">
        <f t="shared" si="11"/>
        <v>304375.41000000003</v>
      </c>
      <c r="J37" s="45">
        <f t="shared" si="11"/>
        <v>266567.01999999996</v>
      </c>
      <c r="K37" s="45">
        <f t="shared" si="11"/>
        <v>239502.85</v>
      </c>
      <c r="L37" s="45">
        <f t="shared" si="11"/>
        <v>190133.66999999998</v>
      </c>
      <c r="M37" s="45">
        <f t="shared" si="11"/>
        <v>83046.7</v>
      </c>
      <c r="N37" s="45">
        <f t="shared" si="11"/>
        <v>432631.1</v>
      </c>
      <c r="O37" s="45">
        <f t="shared" si="11"/>
        <v>393437.87</v>
      </c>
      <c r="P37" s="45">
        <f t="shared" si="11"/>
        <v>374070.29</v>
      </c>
      <c r="Q37" s="45">
        <f>SUM(E37:P37)</f>
        <v>3027932.2</v>
      </c>
      <c r="R37" s="149">
        <f>Q37/$Q$29</f>
        <v>0.27288157863905826</v>
      </c>
      <c r="S37" s="148"/>
      <c r="T37" s="40" t="e">
        <f t="shared" si="9"/>
        <v>#DIV/0!</v>
      </c>
    </row>
    <row r="38" spans="1:20" s="77" customFormat="1" ht="25.4" customHeight="1">
      <c r="A38" s="3"/>
      <c r="B38" s="3"/>
      <c r="C38" s="3"/>
      <c r="D38" s="26"/>
      <c r="E38" s="63"/>
      <c r="F38" s="63"/>
      <c r="G38" s="63"/>
      <c r="H38" s="63"/>
      <c r="I38" s="63"/>
      <c r="J38" s="63"/>
      <c r="K38" s="63"/>
      <c r="L38" s="63"/>
      <c r="S38" s="148"/>
      <c r="T38" s="40"/>
    </row>
    <row r="39" spans="1:20" s="77" customFormat="1" ht="25.4" customHeight="1">
      <c r="A39" s="3"/>
      <c r="B39" s="3"/>
      <c r="C39" s="3"/>
      <c r="D39" s="21" t="s">
        <v>1084</v>
      </c>
      <c r="E39" s="63"/>
      <c r="F39" s="63"/>
      <c r="G39" s="63"/>
      <c r="H39" s="63"/>
      <c r="I39" s="63"/>
      <c r="J39" s="63"/>
      <c r="K39" s="63"/>
      <c r="L39" s="63"/>
      <c r="R39" s="34" t="s">
        <v>421</v>
      </c>
      <c r="S39" s="148"/>
      <c r="T39" s="40"/>
    </row>
    <row r="40" spans="1:20" s="77" customFormat="1" ht="25.4" customHeight="1">
      <c r="A40" s="3" t="s">
        <v>142</v>
      </c>
      <c r="B40" s="3" t="s">
        <v>645</v>
      </c>
      <c r="C40" s="3"/>
      <c r="D40" s="26" t="s">
        <v>143</v>
      </c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>
        <f t="shared" ref="Q40:Q103" si="12">SUM(E40:P40)</f>
        <v>0</v>
      </c>
      <c r="R40" s="134">
        <f>Q40/$Q$118</f>
        <v>0</v>
      </c>
      <c r="S40" s="148"/>
      <c r="T40" s="40">
        <f t="shared" si="9"/>
        <v>0</v>
      </c>
    </row>
    <row r="41" spans="1:20" s="77" customFormat="1" ht="25.4" customHeight="1">
      <c r="A41" s="3" t="s">
        <v>144</v>
      </c>
      <c r="B41" s="3" t="s">
        <v>645</v>
      </c>
      <c r="C41" s="3"/>
      <c r="D41" s="26" t="s">
        <v>145</v>
      </c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>
        <f t="shared" si="12"/>
        <v>0</v>
      </c>
      <c r="R41" s="134">
        <f t="shared" ref="R41:R104" si="13">Q41/$Q$118</f>
        <v>0</v>
      </c>
      <c r="S41" s="148"/>
      <c r="T41" s="40">
        <f t="shared" si="9"/>
        <v>0</v>
      </c>
    </row>
    <row r="42" spans="1:20" s="77" customFormat="1" ht="25.4" customHeight="1">
      <c r="A42" s="3" t="s">
        <v>146</v>
      </c>
      <c r="B42" s="3" t="s">
        <v>645</v>
      </c>
      <c r="C42" s="3"/>
      <c r="D42" s="26" t="s">
        <v>147</v>
      </c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>
        <f t="shared" si="12"/>
        <v>0</v>
      </c>
      <c r="R42" s="134">
        <f t="shared" si="13"/>
        <v>0</v>
      </c>
      <c r="S42" s="148"/>
      <c r="T42" s="40">
        <f t="shared" si="9"/>
        <v>0</v>
      </c>
    </row>
    <row r="43" spans="1:20" s="77" customFormat="1" ht="25.4" customHeight="1">
      <c r="A43" s="3" t="s">
        <v>148</v>
      </c>
      <c r="B43" s="3" t="s">
        <v>645</v>
      </c>
      <c r="C43" s="3"/>
      <c r="D43" s="26" t="s">
        <v>149</v>
      </c>
      <c r="E43" s="388">
        <f t="shared" ref="E43:P43" si="14">ROUND(E118*3,2)</f>
        <v>4080</v>
      </c>
      <c r="F43" s="388">
        <f t="shared" si="14"/>
        <v>105</v>
      </c>
      <c r="G43" s="388">
        <f t="shared" si="14"/>
        <v>5100</v>
      </c>
      <c r="H43" s="388">
        <f t="shared" si="14"/>
        <v>3240</v>
      </c>
      <c r="I43" s="388">
        <f t="shared" si="14"/>
        <v>4410</v>
      </c>
      <c r="J43" s="388">
        <f t="shared" si="14"/>
        <v>5070</v>
      </c>
      <c r="K43" s="388">
        <f t="shared" si="14"/>
        <v>4080</v>
      </c>
      <c r="L43" s="388">
        <f t="shared" si="14"/>
        <v>2340</v>
      </c>
      <c r="M43" s="388">
        <f t="shared" si="14"/>
        <v>555</v>
      </c>
      <c r="N43" s="388">
        <f t="shared" si="14"/>
        <v>8160</v>
      </c>
      <c r="O43" s="388">
        <f t="shared" si="14"/>
        <v>8040</v>
      </c>
      <c r="P43" s="388">
        <f t="shared" si="14"/>
        <v>7050</v>
      </c>
      <c r="Q43" s="388">
        <f t="shared" si="12"/>
        <v>52230</v>
      </c>
      <c r="R43" s="134">
        <f t="shared" si="13"/>
        <v>3</v>
      </c>
      <c r="S43" s="148"/>
      <c r="T43" s="40" t="e">
        <f t="shared" si="9"/>
        <v>#DIV/0!</v>
      </c>
    </row>
    <row r="44" spans="1:20" s="77" customFormat="1" ht="25.4" customHeight="1">
      <c r="A44" s="3" t="s">
        <v>150</v>
      </c>
      <c r="B44" s="3" t="s">
        <v>645</v>
      </c>
      <c r="C44" s="3"/>
      <c r="D44" s="26" t="s">
        <v>151</v>
      </c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>
        <f t="shared" si="12"/>
        <v>0</v>
      </c>
      <c r="R44" s="134">
        <f t="shared" si="13"/>
        <v>0</v>
      </c>
      <c r="S44" s="148"/>
      <c r="T44" s="40">
        <f t="shared" si="9"/>
        <v>0</v>
      </c>
    </row>
    <row r="45" spans="1:20" s="77" customFormat="1" ht="25.4" customHeight="1">
      <c r="A45" s="3" t="s">
        <v>152</v>
      </c>
      <c r="B45" s="3" t="s">
        <v>645</v>
      </c>
      <c r="C45" s="3"/>
      <c r="D45" s="26" t="s">
        <v>153</v>
      </c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388">
        <f t="shared" si="12"/>
        <v>0</v>
      </c>
      <c r="R45" s="134">
        <f t="shared" si="13"/>
        <v>0</v>
      </c>
      <c r="S45" s="148"/>
      <c r="T45" s="40">
        <f t="shared" si="9"/>
        <v>0</v>
      </c>
    </row>
    <row r="46" spans="1:20" s="77" customFormat="1" ht="25.4" customHeight="1">
      <c r="A46" s="3" t="s">
        <v>154</v>
      </c>
      <c r="B46" s="3" t="s">
        <v>645</v>
      </c>
      <c r="C46" s="3"/>
      <c r="D46" s="26" t="s">
        <v>155</v>
      </c>
      <c r="E46" s="388"/>
      <c r="F46" s="388"/>
      <c r="G46" s="388"/>
      <c r="H46" s="388"/>
      <c r="I46" s="388"/>
      <c r="J46" s="388"/>
      <c r="K46" s="388"/>
      <c r="L46" s="388"/>
      <c r="M46" s="388"/>
      <c r="N46" s="388"/>
      <c r="O46" s="388"/>
      <c r="P46" s="388"/>
      <c r="Q46" s="388">
        <f t="shared" si="12"/>
        <v>0</v>
      </c>
      <c r="R46" s="134">
        <f t="shared" si="13"/>
        <v>0</v>
      </c>
      <c r="S46" s="148"/>
      <c r="T46" s="40">
        <f t="shared" si="9"/>
        <v>0</v>
      </c>
    </row>
    <row r="47" spans="1:20" s="77" customFormat="1" ht="25.4" customHeight="1">
      <c r="A47" s="3" t="s">
        <v>156</v>
      </c>
      <c r="B47" s="3" t="s">
        <v>645</v>
      </c>
      <c r="C47" s="3"/>
      <c r="D47" s="26" t="s">
        <v>157</v>
      </c>
      <c r="E47" s="388">
        <f t="shared" ref="E47:P47" si="15">ROUND(E118*10,2)</f>
        <v>13600</v>
      </c>
      <c r="F47" s="388">
        <f t="shared" si="15"/>
        <v>350</v>
      </c>
      <c r="G47" s="388">
        <f t="shared" si="15"/>
        <v>17000</v>
      </c>
      <c r="H47" s="388">
        <f t="shared" si="15"/>
        <v>10800</v>
      </c>
      <c r="I47" s="388">
        <f t="shared" si="15"/>
        <v>14700</v>
      </c>
      <c r="J47" s="388">
        <f t="shared" si="15"/>
        <v>16900</v>
      </c>
      <c r="K47" s="388">
        <f t="shared" si="15"/>
        <v>13600</v>
      </c>
      <c r="L47" s="388">
        <f t="shared" si="15"/>
        <v>7800</v>
      </c>
      <c r="M47" s="388">
        <f t="shared" si="15"/>
        <v>1850</v>
      </c>
      <c r="N47" s="388">
        <f t="shared" si="15"/>
        <v>27200</v>
      </c>
      <c r="O47" s="388">
        <f t="shared" si="15"/>
        <v>26800</v>
      </c>
      <c r="P47" s="388">
        <f t="shared" si="15"/>
        <v>23500</v>
      </c>
      <c r="Q47" s="388">
        <f t="shared" si="12"/>
        <v>174100</v>
      </c>
      <c r="R47" s="134">
        <f t="shared" si="13"/>
        <v>10</v>
      </c>
      <c r="S47" s="148"/>
      <c r="T47" s="40" t="e">
        <f t="shared" si="9"/>
        <v>#DIV/0!</v>
      </c>
    </row>
    <row r="48" spans="1:20" s="77" customFormat="1" ht="25.4" customHeight="1">
      <c r="A48" s="3" t="s">
        <v>158</v>
      </c>
      <c r="B48" s="3" t="s">
        <v>645</v>
      </c>
      <c r="C48" s="3"/>
      <c r="D48" s="26" t="s">
        <v>159</v>
      </c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  <c r="Q48" s="388">
        <f t="shared" si="12"/>
        <v>0</v>
      </c>
      <c r="R48" s="134">
        <f t="shared" si="13"/>
        <v>0</v>
      </c>
      <c r="S48" s="148"/>
      <c r="T48" s="40">
        <f t="shared" si="9"/>
        <v>0</v>
      </c>
    </row>
    <row r="49" spans="1:20" s="77" customFormat="1" ht="25.4" customHeight="1">
      <c r="A49" s="3" t="s">
        <v>160</v>
      </c>
      <c r="B49" s="3" t="s">
        <v>645</v>
      </c>
      <c r="C49" s="3"/>
      <c r="D49" s="26" t="s">
        <v>161</v>
      </c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>
        <f t="shared" si="12"/>
        <v>0</v>
      </c>
      <c r="R49" s="134">
        <f t="shared" si="13"/>
        <v>0</v>
      </c>
      <c r="S49" s="148"/>
      <c r="T49" s="40">
        <f t="shared" si="9"/>
        <v>0</v>
      </c>
    </row>
    <row r="50" spans="1:20" s="77" customFormat="1" ht="24.65" customHeight="1">
      <c r="A50" s="3" t="s">
        <v>162</v>
      </c>
      <c r="B50" s="3" t="s">
        <v>645</v>
      </c>
      <c r="C50" s="3"/>
      <c r="D50" s="26" t="s">
        <v>163</v>
      </c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>
        <f t="shared" si="12"/>
        <v>0</v>
      </c>
      <c r="R50" s="134">
        <f t="shared" si="13"/>
        <v>0</v>
      </c>
      <c r="S50" s="148"/>
      <c r="T50" s="40">
        <f t="shared" si="9"/>
        <v>0</v>
      </c>
    </row>
    <row r="51" spans="1:20" s="77" customFormat="1" ht="25.4" customHeight="1">
      <c r="A51" s="3" t="s">
        <v>164</v>
      </c>
      <c r="B51" s="3" t="s">
        <v>645</v>
      </c>
      <c r="C51" s="3"/>
      <c r="D51" s="26" t="s">
        <v>165</v>
      </c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>
        <f t="shared" si="12"/>
        <v>0</v>
      </c>
      <c r="R51" s="134">
        <f t="shared" si="13"/>
        <v>0</v>
      </c>
      <c r="S51" s="148"/>
      <c r="T51" s="40">
        <f t="shared" si="9"/>
        <v>0</v>
      </c>
    </row>
    <row r="52" spans="1:20" s="77" customFormat="1" ht="25.4" customHeight="1">
      <c r="A52" s="3" t="s">
        <v>166</v>
      </c>
      <c r="B52" s="3" t="s">
        <v>645</v>
      </c>
      <c r="C52" s="3"/>
      <c r="D52" s="26" t="s">
        <v>167</v>
      </c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388">
        <f t="shared" si="12"/>
        <v>0</v>
      </c>
      <c r="R52" s="134">
        <f t="shared" si="13"/>
        <v>0</v>
      </c>
      <c r="S52" s="148"/>
      <c r="T52" s="40">
        <f t="shared" si="9"/>
        <v>0</v>
      </c>
    </row>
    <row r="53" spans="1:20" s="77" customFormat="1" ht="25.4" customHeight="1">
      <c r="A53" s="3" t="s">
        <v>168</v>
      </c>
      <c r="B53" s="3" t="s">
        <v>645</v>
      </c>
      <c r="C53" s="3"/>
      <c r="D53" s="26" t="s">
        <v>169</v>
      </c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>
        <f t="shared" si="12"/>
        <v>0</v>
      </c>
      <c r="R53" s="134">
        <f t="shared" si="13"/>
        <v>0</v>
      </c>
      <c r="S53" s="148"/>
      <c r="T53" s="40">
        <f t="shared" si="9"/>
        <v>0</v>
      </c>
    </row>
    <row r="54" spans="1:20" s="77" customFormat="1" ht="25.4" customHeight="1">
      <c r="A54" s="3" t="s">
        <v>170</v>
      </c>
      <c r="B54" s="3" t="s">
        <v>645</v>
      </c>
      <c r="C54" s="3"/>
      <c r="D54" s="26" t="s">
        <v>171</v>
      </c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>
        <f t="shared" si="12"/>
        <v>0</v>
      </c>
      <c r="R54" s="134">
        <f t="shared" si="13"/>
        <v>0</v>
      </c>
      <c r="S54" s="148"/>
      <c r="T54" s="40">
        <f t="shared" si="9"/>
        <v>0</v>
      </c>
    </row>
    <row r="55" spans="1:20" s="77" customFormat="1" ht="25.4" customHeight="1">
      <c r="A55" s="3" t="s">
        <v>172</v>
      </c>
      <c r="B55" s="3" t="s">
        <v>645</v>
      </c>
      <c r="C55" s="3"/>
      <c r="D55" s="26" t="s">
        <v>173</v>
      </c>
      <c r="E55" s="388">
        <v>3000</v>
      </c>
      <c r="F55" s="388">
        <v>1000</v>
      </c>
      <c r="G55" s="388">
        <v>3000</v>
      </c>
      <c r="H55" s="388">
        <v>3000</v>
      </c>
      <c r="I55" s="388">
        <v>3000</v>
      </c>
      <c r="J55" s="388">
        <v>3000</v>
      </c>
      <c r="K55" s="388">
        <v>3000</v>
      </c>
      <c r="L55" s="388">
        <v>3000</v>
      </c>
      <c r="M55" s="388">
        <v>3000</v>
      </c>
      <c r="N55" s="388">
        <v>3000</v>
      </c>
      <c r="O55" s="388">
        <v>3000</v>
      </c>
      <c r="P55" s="388">
        <v>3000</v>
      </c>
      <c r="Q55" s="388">
        <f t="shared" si="12"/>
        <v>34000</v>
      </c>
      <c r="R55" s="134">
        <f t="shared" si="13"/>
        <v>1.9529006318207927</v>
      </c>
      <c r="S55" s="148"/>
      <c r="T55" s="40"/>
    </row>
    <row r="56" spans="1:20" s="77" customFormat="1" ht="25.4" customHeight="1">
      <c r="A56" s="3" t="s">
        <v>174</v>
      </c>
      <c r="B56" s="3" t="s">
        <v>645</v>
      </c>
      <c r="C56" s="3"/>
      <c r="D56" s="26" t="s">
        <v>175</v>
      </c>
      <c r="E56" s="388"/>
      <c r="F56" s="388"/>
      <c r="G56" s="388"/>
      <c r="H56" s="388"/>
      <c r="I56" s="388"/>
      <c r="J56" s="388"/>
      <c r="K56" s="388"/>
      <c r="L56" s="388"/>
      <c r="M56" s="388"/>
      <c r="N56" s="388"/>
      <c r="O56" s="388"/>
      <c r="P56" s="388"/>
      <c r="Q56" s="388">
        <f t="shared" si="12"/>
        <v>0</v>
      </c>
      <c r="R56" s="134">
        <f t="shared" si="13"/>
        <v>0</v>
      </c>
      <c r="S56" s="148"/>
      <c r="T56" s="40">
        <f t="shared" si="9"/>
        <v>0</v>
      </c>
    </row>
    <row r="57" spans="1:20" s="77" customFormat="1" ht="25.4" customHeight="1">
      <c r="A57" s="3" t="s">
        <v>176</v>
      </c>
      <c r="B57" s="3" t="s">
        <v>645</v>
      </c>
      <c r="C57" s="3"/>
      <c r="D57" s="26" t="s">
        <v>177</v>
      </c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  <c r="Q57" s="388">
        <f t="shared" si="12"/>
        <v>0</v>
      </c>
      <c r="R57" s="134">
        <f t="shared" si="13"/>
        <v>0</v>
      </c>
      <c r="S57" s="148"/>
      <c r="T57" s="40">
        <f t="shared" si="9"/>
        <v>0</v>
      </c>
    </row>
    <row r="58" spans="1:20" s="77" customFormat="1" ht="25.4" customHeight="1">
      <c r="A58" s="3" t="s">
        <v>178</v>
      </c>
      <c r="B58" s="3" t="s">
        <v>645</v>
      </c>
      <c r="C58" s="3"/>
      <c r="D58" s="26" t="s">
        <v>179</v>
      </c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  <c r="Q58" s="388">
        <f t="shared" si="12"/>
        <v>0</v>
      </c>
      <c r="R58" s="134">
        <f t="shared" si="13"/>
        <v>0</v>
      </c>
      <c r="S58" s="148"/>
      <c r="T58" s="40">
        <f t="shared" si="9"/>
        <v>0</v>
      </c>
    </row>
    <row r="59" spans="1:20" s="77" customFormat="1" ht="25.4" customHeight="1">
      <c r="A59" s="3" t="s">
        <v>180</v>
      </c>
      <c r="B59" s="3" t="s">
        <v>645</v>
      </c>
      <c r="C59" s="3"/>
      <c r="D59" s="26" t="s">
        <v>181</v>
      </c>
      <c r="E59" s="388"/>
      <c r="F59" s="388"/>
      <c r="G59" s="388"/>
      <c r="H59" s="388"/>
      <c r="I59" s="388"/>
      <c r="J59" s="388">
        <v>1000</v>
      </c>
      <c r="K59" s="388">
        <v>1000</v>
      </c>
      <c r="L59" s="388">
        <v>1000</v>
      </c>
      <c r="M59" s="388">
        <v>1000</v>
      </c>
      <c r="N59" s="388">
        <v>1000</v>
      </c>
      <c r="O59" s="388">
        <v>1000</v>
      </c>
      <c r="P59" s="388">
        <v>1000</v>
      </c>
      <c r="Q59" s="388">
        <f t="shared" si="12"/>
        <v>7000</v>
      </c>
      <c r="R59" s="134">
        <f t="shared" si="13"/>
        <v>0.40206777713957498</v>
      </c>
      <c r="S59" s="148"/>
      <c r="T59" s="40" t="e">
        <f t="shared" si="9"/>
        <v>#DIV/0!</v>
      </c>
    </row>
    <row r="60" spans="1:20" s="77" customFormat="1" ht="24.75" customHeight="1">
      <c r="A60" s="3" t="s">
        <v>182</v>
      </c>
      <c r="B60" s="3" t="s">
        <v>645</v>
      </c>
      <c r="C60" s="3"/>
      <c r="D60" s="26" t="s">
        <v>183</v>
      </c>
      <c r="E60" s="388">
        <f t="shared" ref="E60:P60" si="16">ROUND(E118*3,2)</f>
        <v>4080</v>
      </c>
      <c r="F60" s="388">
        <f t="shared" si="16"/>
        <v>105</v>
      </c>
      <c r="G60" s="388">
        <f t="shared" si="16"/>
        <v>5100</v>
      </c>
      <c r="H60" s="388">
        <f t="shared" si="16"/>
        <v>3240</v>
      </c>
      <c r="I60" s="388">
        <f t="shared" si="16"/>
        <v>4410</v>
      </c>
      <c r="J60" s="388">
        <f t="shared" si="16"/>
        <v>5070</v>
      </c>
      <c r="K60" s="388">
        <f t="shared" si="16"/>
        <v>4080</v>
      </c>
      <c r="L60" s="388">
        <f t="shared" si="16"/>
        <v>2340</v>
      </c>
      <c r="M60" s="388">
        <f t="shared" si="16"/>
        <v>555</v>
      </c>
      <c r="N60" s="388">
        <f t="shared" si="16"/>
        <v>8160</v>
      </c>
      <c r="O60" s="388">
        <f t="shared" si="16"/>
        <v>8040</v>
      </c>
      <c r="P60" s="388">
        <f t="shared" si="16"/>
        <v>7050</v>
      </c>
      <c r="Q60" s="388">
        <f t="shared" si="12"/>
        <v>52230</v>
      </c>
      <c r="R60" s="134">
        <f t="shared" si="13"/>
        <v>3</v>
      </c>
      <c r="S60" s="148"/>
      <c r="T60" s="40" t="e">
        <f t="shared" si="9"/>
        <v>#DIV/0!</v>
      </c>
    </row>
    <row r="61" spans="1:20" s="77" customFormat="1" ht="25.4" customHeight="1">
      <c r="A61" s="3" t="s">
        <v>184</v>
      </c>
      <c r="B61" s="3" t="s">
        <v>645</v>
      </c>
      <c r="C61" s="3"/>
      <c r="D61" s="26" t="s">
        <v>185</v>
      </c>
      <c r="E61" s="388"/>
      <c r="F61" s="388"/>
      <c r="G61" s="388"/>
      <c r="H61" s="388"/>
      <c r="I61" s="388"/>
      <c r="J61" s="388">
        <v>300</v>
      </c>
      <c r="K61" s="388">
        <v>300</v>
      </c>
      <c r="L61" s="388">
        <v>300</v>
      </c>
      <c r="M61" s="388">
        <v>300</v>
      </c>
      <c r="N61" s="388">
        <v>300</v>
      </c>
      <c r="O61" s="388">
        <v>300</v>
      </c>
      <c r="P61" s="388">
        <v>300</v>
      </c>
      <c r="Q61" s="388">
        <f t="shared" si="12"/>
        <v>2100</v>
      </c>
      <c r="R61" s="134">
        <f t="shared" si="13"/>
        <v>0.12062033314187248</v>
      </c>
      <c r="S61" s="148"/>
      <c r="T61" s="40" t="e">
        <f t="shared" si="9"/>
        <v>#DIV/0!</v>
      </c>
    </row>
    <row r="62" spans="1:20" s="77" customFormat="1" ht="25.4" customHeight="1">
      <c r="A62" s="3" t="s">
        <v>186</v>
      </c>
      <c r="B62" s="3" t="s">
        <v>645</v>
      </c>
      <c r="C62" s="3"/>
      <c r="D62" s="26" t="s">
        <v>187</v>
      </c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  <c r="Q62" s="388">
        <f t="shared" si="12"/>
        <v>0</v>
      </c>
      <c r="R62" s="134">
        <f t="shared" si="13"/>
        <v>0</v>
      </c>
      <c r="S62" s="148"/>
      <c r="T62" s="40"/>
    </row>
    <row r="63" spans="1:20" s="77" customFormat="1" ht="25.4" customHeight="1">
      <c r="A63" s="3" t="s">
        <v>188</v>
      </c>
      <c r="B63" s="3" t="s">
        <v>645</v>
      </c>
      <c r="C63" s="3"/>
      <c r="D63" s="26" t="s">
        <v>189</v>
      </c>
      <c r="E63" s="388"/>
      <c r="F63" s="388"/>
      <c r="G63" s="388"/>
      <c r="H63" s="388"/>
      <c r="I63" s="388"/>
      <c r="J63" s="388">
        <v>500</v>
      </c>
      <c r="K63" s="388">
        <v>500</v>
      </c>
      <c r="L63" s="388">
        <v>500</v>
      </c>
      <c r="M63" s="388">
        <v>500</v>
      </c>
      <c r="N63" s="388">
        <v>500</v>
      </c>
      <c r="O63" s="388">
        <v>500</v>
      </c>
      <c r="P63" s="388">
        <v>500</v>
      </c>
      <c r="Q63" s="388">
        <f t="shared" si="12"/>
        <v>3500</v>
      </c>
      <c r="R63" s="134">
        <f t="shared" si="13"/>
        <v>0.20103388856978749</v>
      </c>
      <c r="S63" s="148"/>
      <c r="T63" s="40"/>
    </row>
    <row r="64" spans="1:20" s="77" customFormat="1" ht="25.4" customHeight="1">
      <c r="A64" s="3" t="s">
        <v>190</v>
      </c>
      <c r="B64" s="3" t="s">
        <v>645</v>
      </c>
      <c r="C64" s="3"/>
      <c r="D64" s="26" t="s">
        <v>191</v>
      </c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388">
        <f t="shared" si="12"/>
        <v>0</v>
      </c>
      <c r="R64" s="134">
        <f t="shared" si="13"/>
        <v>0</v>
      </c>
      <c r="S64" s="148"/>
      <c r="T64" s="40">
        <f t="shared" si="9"/>
        <v>0</v>
      </c>
    </row>
    <row r="65" spans="1:20" s="77" customFormat="1" ht="25.4" customHeight="1">
      <c r="A65" s="3" t="s">
        <v>192</v>
      </c>
      <c r="B65" s="3" t="s">
        <v>645</v>
      </c>
      <c r="C65" s="3"/>
      <c r="D65" s="26" t="s">
        <v>193</v>
      </c>
      <c r="E65" s="388">
        <v>3000</v>
      </c>
      <c r="F65" s="388">
        <v>1000</v>
      </c>
      <c r="G65" s="388">
        <v>3000</v>
      </c>
      <c r="H65" s="388">
        <v>3000</v>
      </c>
      <c r="I65" s="388">
        <v>3000</v>
      </c>
      <c r="J65" s="388">
        <v>3000</v>
      </c>
      <c r="K65" s="388">
        <v>3000</v>
      </c>
      <c r="L65" s="388">
        <v>3000</v>
      </c>
      <c r="M65" s="388">
        <v>3000</v>
      </c>
      <c r="N65" s="388">
        <v>3000</v>
      </c>
      <c r="O65" s="388">
        <v>3000</v>
      </c>
      <c r="P65" s="388">
        <v>3000</v>
      </c>
      <c r="Q65" s="388">
        <f t="shared" si="12"/>
        <v>34000</v>
      </c>
      <c r="R65" s="134">
        <f t="shared" si="13"/>
        <v>1.9529006318207927</v>
      </c>
      <c r="S65" s="148"/>
      <c r="T65" s="40" t="e">
        <f t="shared" si="9"/>
        <v>#DIV/0!</v>
      </c>
    </row>
    <row r="66" spans="1:20" s="77" customFormat="1" ht="25.4" customHeight="1">
      <c r="A66" s="3" t="s">
        <v>194</v>
      </c>
      <c r="B66" s="3" t="s">
        <v>645</v>
      </c>
      <c r="C66" s="3"/>
      <c r="D66" s="26" t="s">
        <v>195</v>
      </c>
      <c r="E66" s="388">
        <v>1000</v>
      </c>
      <c r="F66" s="388">
        <v>1000</v>
      </c>
      <c r="G66" s="388">
        <v>1000</v>
      </c>
      <c r="H66" s="388">
        <v>1000</v>
      </c>
      <c r="I66" s="388">
        <v>1000</v>
      </c>
      <c r="J66" s="388">
        <v>1000</v>
      </c>
      <c r="K66" s="388">
        <v>1000</v>
      </c>
      <c r="L66" s="388">
        <v>1000</v>
      </c>
      <c r="M66" s="388">
        <v>1000</v>
      </c>
      <c r="N66" s="388">
        <v>1000</v>
      </c>
      <c r="O66" s="388">
        <v>1000</v>
      </c>
      <c r="P66" s="388">
        <v>1000</v>
      </c>
      <c r="Q66" s="388">
        <f t="shared" si="12"/>
        <v>12000</v>
      </c>
      <c r="R66" s="134">
        <f t="shared" si="13"/>
        <v>0.6892590465249856</v>
      </c>
      <c r="S66" s="148"/>
      <c r="T66" s="40"/>
    </row>
    <row r="67" spans="1:20" s="77" customFormat="1" ht="25.4" customHeight="1">
      <c r="A67" s="3" t="s">
        <v>196</v>
      </c>
      <c r="B67" s="3" t="s">
        <v>645</v>
      </c>
      <c r="C67" s="3"/>
      <c r="D67" s="26" t="s">
        <v>197</v>
      </c>
      <c r="E67" s="388">
        <v>400</v>
      </c>
      <c r="F67" s="388">
        <v>400</v>
      </c>
      <c r="G67" s="388">
        <v>400</v>
      </c>
      <c r="H67" s="388">
        <v>400</v>
      </c>
      <c r="I67" s="388">
        <v>400</v>
      </c>
      <c r="J67" s="388">
        <v>400</v>
      </c>
      <c r="K67" s="388">
        <v>400</v>
      </c>
      <c r="L67" s="388">
        <v>400</v>
      </c>
      <c r="M67" s="388">
        <v>400</v>
      </c>
      <c r="N67" s="388">
        <v>400</v>
      </c>
      <c r="O67" s="388">
        <v>400</v>
      </c>
      <c r="P67" s="388">
        <v>400</v>
      </c>
      <c r="Q67" s="388">
        <f t="shared" si="12"/>
        <v>4800</v>
      </c>
      <c r="R67" s="134">
        <f t="shared" si="13"/>
        <v>0.27570361860999426</v>
      </c>
      <c r="S67" s="148"/>
      <c r="T67" s="40" t="e">
        <f t="shared" si="9"/>
        <v>#DIV/0!</v>
      </c>
    </row>
    <row r="68" spans="1:20" s="77" customFormat="1" ht="25.4" customHeight="1">
      <c r="A68" s="3" t="s">
        <v>198</v>
      </c>
      <c r="B68" s="3" t="s">
        <v>645</v>
      </c>
      <c r="C68" s="3"/>
      <c r="D68" s="26" t="s">
        <v>199</v>
      </c>
      <c r="E68" s="388">
        <f>12*E166</f>
        <v>264</v>
      </c>
      <c r="F68" s="388">
        <f t="shared" ref="F68:P68" si="17">12*F166</f>
        <v>60</v>
      </c>
      <c r="G68" s="388">
        <f t="shared" si="17"/>
        <v>324</v>
      </c>
      <c r="H68" s="388">
        <f t="shared" si="17"/>
        <v>264</v>
      </c>
      <c r="I68" s="388">
        <f t="shared" si="17"/>
        <v>372</v>
      </c>
      <c r="J68" s="388">
        <f t="shared" si="17"/>
        <v>348</v>
      </c>
      <c r="K68" s="388">
        <f t="shared" si="17"/>
        <v>312</v>
      </c>
      <c r="L68" s="388">
        <f t="shared" si="17"/>
        <v>240</v>
      </c>
      <c r="M68" s="388">
        <f t="shared" si="17"/>
        <v>108</v>
      </c>
      <c r="N68" s="388">
        <f t="shared" si="17"/>
        <v>492</v>
      </c>
      <c r="O68" s="388">
        <f t="shared" si="17"/>
        <v>528</v>
      </c>
      <c r="P68" s="388">
        <f t="shared" si="17"/>
        <v>528</v>
      </c>
      <c r="Q68" s="388">
        <f t="shared" si="12"/>
        <v>3840</v>
      </c>
      <c r="R68" s="134">
        <f t="shared" si="13"/>
        <v>0.22056289488799541</v>
      </c>
      <c r="S68" s="148"/>
      <c r="T68" s="40" t="e">
        <f t="shared" si="9"/>
        <v>#DIV/0!</v>
      </c>
    </row>
    <row r="69" spans="1:20" s="77" customFormat="1" ht="29.25" customHeight="1">
      <c r="A69" s="3" t="s">
        <v>200</v>
      </c>
      <c r="B69" s="3" t="s">
        <v>645</v>
      </c>
      <c r="C69" s="3"/>
      <c r="D69" s="26" t="s">
        <v>201</v>
      </c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>
        <f t="shared" si="12"/>
        <v>0</v>
      </c>
      <c r="R69" s="134">
        <f t="shared" si="13"/>
        <v>0</v>
      </c>
      <c r="S69" s="148"/>
      <c r="T69" s="40">
        <f t="shared" si="9"/>
        <v>0</v>
      </c>
    </row>
    <row r="70" spans="1:20" s="77" customFormat="1" ht="25.4" customHeight="1">
      <c r="A70" s="3" t="s">
        <v>202</v>
      </c>
      <c r="B70" s="3" t="s">
        <v>645</v>
      </c>
      <c r="C70" s="3"/>
      <c r="D70" s="26" t="s">
        <v>203</v>
      </c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>
        <f t="shared" si="12"/>
        <v>0</v>
      </c>
      <c r="R70" s="134">
        <f t="shared" si="13"/>
        <v>0</v>
      </c>
      <c r="S70" s="148"/>
      <c r="T70" s="40">
        <f t="shared" si="9"/>
        <v>0</v>
      </c>
    </row>
    <row r="71" spans="1:20" s="77" customFormat="1" ht="25.4" customHeight="1">
      <c r="A71" s="3" t="s">
        <v>204</v>
      </c>
      <c r="B71" s="3" t="s">
        <v>645</v>
      </c>
      <c r="C71" s="3"/>
      <c r="D71" s="26" t="s">
        <v>205</v>
      </c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>
        <f t="shared" si="12"/>
        <v>0</v>
      </c>
      <c r="R71" s="134">
        <f t="shared" si="13"/>
        <v>0</v>
      </c>
      <c r="S71" s="148"/>
      <c r="T71" s="40">
        <f t="shared" si="9"/>
        <v>0</v>
      </c>
    </row>
    <row r="72" spans="1:20" s="77" customFormat="1" ht="25.4" customHeight="1">
      <c r="A72" s="3" t="s">
        <v>206</v>
      </c>
      <c r="B72" s="3" t="s">
        <v>645</v>
      </c>
      <c r="C72" s="3"/>
      <c r="D72" s="26" t="s">
        <v>207</v>
      </c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>
        <f t="shared" si="12"/>
        <v>0</v>
      </c>
      <c r="R72" s="134">
        <f t="shared" si="13"/>
        <v>0</v>
      </c>
      <c r="S72" s="148"/>
      <c r="T72" s="40">
        <f t="shared" si="9"/>
        <v>0</v>
      </c>
    </row>
    <row r="73" spans="1:20" s="77" customFormat="1" ht="25.4" customHeight="1">
      <c r="A73" s="3" t="s">
        <v>208</v>
      </c>
      <c r="B73" s="3" t="s">
        <v>645</v>
      </c>
      <c r="C73" s="3"/>
      <c r="D73" s="26" t="s">
        <v>209</v>
      </c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>
        <f t="shared" si="12"/>
        <v>0</v>
      </c>
      <c r="R73" s="134">
        <f t="shared" si="13"/>
        <v>0</v>
      </c>
      <c r="S73" s="148"/>
      <c r="T73" s="40">
        <f t="shared" si="9"/>
        <v>0</v>
      </c>
    </row>
    <row r="74" spans="1:20" s="77" customFormat="1" ht="25.4" customHeight="1">
      <c r="A74" s="3" t="s">
        <v>210</v>
      </c>
      <c r="B74" s="3" t="s">
        <v>645</v>
      </c>
      <c r="C74" s="3"/>
      <c r="D74" s="26" t="s">
        <v>211</v>
      </c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>
        <f t="shared" si="12"/>
        <v>0</v>
      </c>
      <c r="R74" s="134">
        <f t="shared" si="13"/>
        <v>0</v>
      </c>
      <c r="S74" s="148"/>
      <c r="T74" s="40">
        <f t="shared" si="9"/>
        <v>0</v>
      </c>
    </row>
    <row r="75" spans="1:20" s="77" customFormat="1" ht="25.4" customHeight="1">
      <c r="A75" s="3" t="s">
        <v>212</v>
      </c>
      <c r="B75" s="3" t="s">
        <v>645</v>
      </c>
      <c r="C75" s="3"/>
      <c r="D75" s="26" t="s">
        <v>213</v>
      </c>
      <c r="E75" s="388">
        <f t="shared" ref="E75:F75" si="18">ROUND(E118*6,2)</f>
        <v>8160</v>
      </c>
      <c r="F75" s="388">
        <f t="shared" si="18"/>
        <v>210</v>
      </c>
      <c r="G75" s="388">
        <f t="shared" ref="G75:L75" si="19">ROUND(G118*3,2)</f>
        <v>5100</v>
      </c>
      <c r="H75" s="388">
        <f t="shared" si="19"/>
        <v>3240</v>
      </c>
      <c r="I75" s="388">
        <f t="shared" si="19"/>
        <v>4410</v>
      </c>
      <c r="J75" s="388">
        <f t="shared" si="19"/>
        <v>5070</v>
      </c>
      <c r="K75" s="388">
        <f t="shared" si="19"/>
        <v>4080</v>
      </c>
      <c r="L75" s="388">
        <f t="shared" si="19"/>
        <v>2340</v>
      </c>
      <c r="M75" s="388">
        <f>ROUND(M118*6,2)</f>
        <v>1110</v>
      </c>
      <c r="N75" s="388">
        <f>ROUND(N118*3,2)</f>
        <v>8160</v>
      </c>
      <c r="O75" s="388">
        <f>ROUND(O118*3,2)</f>
        <v>8040</v>
      </c>
      <c r="P75" s="388">
        <f>ROUND(P118*3,2)</f>
        <v>7050</v>
      </c>
      <c r="Q75" s="388">
        <f t="shared" si="12"/>
        <v>56970</v>
      </c>
      <c r="R75" s="134">
        <f t="shared" si="13"/>
        <v>3.2722573233773695</v>
      </c>
      <c r="S75" s="148"/>
      <c r="T75" s="40" t="e">
        <f t="shared" si="9"/>
        <v>#DIV/0!</v>
      </c>
    </row>
    <row r="76" spans="1:20" s="77" customFormat="1" ht="25.4" customHeight="1">
      <c r="A76" s="3" t="s">
        <v>214</v>
      </c>
      <c r="B76" s="3" t="s">
        <v>645</v>
      </c>
      <c r="C76" s="3"/>
      <c r="D76" s="26" t="s">
        <v>215</v>
      </c>
      <c r="E76" s="388">
        <f>ROUND(E150*1.55,2)</f>
        <v>0</v>
      </c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>
        <f t="shared" si="12"/>
        <v>0</v>
      </c>
      <c r="R76" s="134">
        <f t="shared" si="13"/>
        <v>0</v>
      </c>
      <c r="S76" s="148"/>
      <c r="T76" s="40">
        <f t="shared" si="9"/>
        <v>0</v>
      </c>
    </row>
    <row r="77" spans="1:20" s="77" customFormat="1" ht="25.4" customHeight="1">
      <c r="A77" s="3" t="s">
        <v>216</v>
      </c>
      <c r="B77" s="3" t="s">
        <v>645</v>
      </c>
      <c r="C77" s="3"/>
      <c r="D77" s="26" t="s">
        <v>217</v>
      </c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>
        <f t="shared" si="12"/>
        <v>0</v>
      </c>
      <c r="R77" s="134">
        <f t="shared" si="13"/>
        <v>0</v>
      </c>
      <c r="S77" s="148"/>
      <c r="T77" s="40"/>
    </row>
    <row r="78" spans="1:20" s="77" customFormat="1" ht="25.4" customHeight="1">
      <c r="A78" s="3" t="s">
        <v>218</v>
      </c>
      <c r="B78" s="3" t="s">
        <v>645</v>
      </c>
      <c r="C78" s="3"/>
      <c r="D78" s="26" t="s">
        <v>219</v>
      </c>
      <c r="E78" s="388">
        <f t="shared" ref="E78:P78" si="20">ROUND(E118*1,2)</f>
        <v>1360</v>
      </c>
      <c r="F78" s="388">
        <f t="shared" si="20"/>
        <v>35</v>
      </c>
      <c r="G78" s="388">
        <f t="shared" si="20"/>
        <v>1700</v>
      </c>
      <c r="H78" s="388">
        <f t="shared" si="20"/>
        <v>1080</v>
      </c>
      <c r="I78" s="388">
        <f t="shared" si="20"/>
        <v>1470</v>
      </c>
      <c r="J78" s="388">
        <f t="shared" si="20"/>
        <v>1690</v>
      </c>
      <c r="K78" s="388">
        <f t="shared" si="20"/>
        <v>1360</v>
      </c>
      <c r="L78" s="388">
        <f t="shared" si="20"/>
        <v>780</v>
      </c>
      <c r="M78" s="388">
        <f t="shared" si="20"/>
        <v>185</v>
      </c>
      <c r="N78" s="388">
        <f t="shared" si="20"/>
        <v>2720</v>
      </c>
      <c r="O78" s="388">
        <f t="shared" si="20"/>
        <v>2680</v>
      </c>
      <c r="P78" s="388">
        <f t="shared" si="20"/>
        <v>2350</v>
      </c>
      <c r="Q78" s="388">
        <f t="shared" si="12"/>
        <v>17410</v>
      </c>
      <c r="R78" s="134">
        <f t="shared" si="13"/>
        <v>1</v>
      </c>
      <c r="S78" s="148"/>
      <c r="T78" s="40" t="e">
        <f t="shared" si="9"/>
        <v>#DIV/0!</v>
      </c>
    </row>
    <row r="79" spans="1:20" s="77" customFormat="1" ht="25.4" customHeight="1">
      <c r="A79" s="3" t="s">
        <v>220</v>
      </c>
      <c r="B79" s="3" t="s">
        <v>645</v>
      </c>
      <c r="C79" s="3"/>
      <c r="D79" s="26" t="s">
        <v>221</v>
      </c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>
        <f t="shared" si="12"/>
        <v>0</v>
      </c>
      <c r="R79" s="134">
        <f t="shared" si="13"/>
        <v>0</v>
      </c>
      <c r="S79" s="148"/>
      <c r="T79" s="40">
        <f t="shared" si="9"/>
        <v>0</v>
      </c>
    </row>
    <row r="80" spans="1:20" s="77" customFormat="1" ht="25.4" customHeight="1">
      <c r="A80" s="3" t="s">
        <v>222</v>
      </c>
      <c r="B80" s="3" t="s">
        <v>645</v>
      </c>
      <c r="C80" s="3"/>
      <c r="D80" s="26" t="s">
        <v>223</v>
      </c>
      <c r="E80" s="388"/>
      <c r="F80" s="388"/>
      <c r="G80" s="388"/>
      <c r="H80" s="388"/>
      <c r="I80" s="388"/>
      <c r="J80" s="388"/>
      <c r="K80" s="388"/>
      <c r="L80" s="388"/>
      <c r="M80" s="388"/>
      <c r="N80" s="388"/>
      <c r="O80" s="388"/>
      <c r="P80" s="388"/>
      <c r="Q80" s="388">
        <f t="shared" si="12"/>
        <v>0</v>
      </c>
      <c r="R80" s="134">
        <f t="shared" si="13"/>
        <v>0</v>
      </c>
      <c r="S80" s="148"/>
      <c r="T80" s="40">
        <f t="shared" si="9"/>
        <v>0</v>
      </c>
    </row>
    <row r="81" spans="1:21" s="77" customFormat="1" ht="25.4" customHeight="1">
      <c r="A81" s="3" t="s">
        <v>224</v>
      </c>
      <c r="B81" s="3" t="s">
        <v>645</v>
      </c>
      <c r="C81" s="3"/>
      <c r="D81" s="26" t="s">
        <v>225</v>
      </c>
      <c r="E81" s="388"/>
      <c r="F81" s="388"/>
      <c r="G81" s="388"/>
      <c r="H81" s="388">
        <f>ROUND(H118*4,2)</f>
        <v>4320</v>
      </c>
      <c r="I81" s="388">
        <f t="shared" ref="I81:J81" si="21">ROUND(I118*4,2)</f>
        <v>5880</v>
      </c>
      <c r="J81" s="388">
        <f t="shared" si="21"/>
        <v>6760</v>
      </c>
      <c r="K81" s="388"/>
      <c r="L81" s="388"/>
      <c r="M81" s="388"/>
      <c r="N81" s="388">
        <f t="shared" ref="N81:P81" si="22">ROUND(N118*3,2)</f>
        <v>8160</v>
      </c>
      <c r="O81" s="388">
        <f t="shared" si="22"/>
        <v>8040</v>
      </c>
      <c r="P81" s="388">
        <f t="shared" si="22"/>
        <v>7050</v>
      </c>
      <c r="Q81" s="388">
        <f t="shared" si="12"/>
        <v>40210</v>
      </c>
      <c r="R81" s="134">
        <f t="shared" si="13"/>
        <v>2.3095921883974726</v>
      </c>
      <c r="S81" s="148"/>
      <c r="T81" s="40" t="e">
        <f t="shared" si="9"/>
        <v>#DIV/0!</v>
      </c>
    </row>
    <row r="82" spans="1:21" s="77" customFormat="1" ht="25.4" customHeight="1">
      <c r="A82" s="3" t="s">
        <v>226</v>
      </c>
      <c r="B82" s="3" t="s">
        <v>645</v>
      </c>
      <c r="C82" s="3"/>
      <c r="D82" s="26" t="s">
        <v>227</v>
      </c>
      <c r="E82" s="388"/>
      <c r="F82" s="388"/>
      <c r="G82" s="388"/>
      <c r="H82" s="388"/>
      <c r="I82" s="388"/>
      <c r="J82" s="388"/>
      <c r="K82" s="388"/>
      <c r="L82" s="388"/>
      <c r="M82" s="388"/>
      <c r="N82" s="388"/>
      <c r="O82" s="388"/>
      <c r="P82" s="388"/>
      <c r="Q82" s="388">
        <f t="shared" si="12"/>
        <v>0</v>
      </c>
      <c r="R82" s="134">
        <f t="shared" si="13"/>
        <v>0</v>
      </c>
      <c r="S82" s="148"/>
      <c r="T82" s="40">
        <f t="shared" si="9"/>
        <v>0</v>
      </c>
    </row>
    <row r="83" spans="1:21" s="77" customFormat="1" ht="25.4" hidden="1" customHeight="1">
      <c r="A83" s="3" t="s">
        <v>228</v>
      </c>
      <c r="B83" s="3" t="s">
        <v>645</v>
      </c>
      <c r="C83" s="3"/>
      <c r="D83" s="26" t="s">
        <v>229</v>
      </c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388"/>
      <c r="P83" s="388"/>
      <c r="Q83" s="388">
        <f t="shared" si="12"/>
        <v>0</v>
      </c>
      <c r="R83" s="134">
        <f t="shared" si="13"/>
        <v>0</v>
      </c>
      <c r="S83" s="148"/>
      <c r="T83" s="40">
        <f t="shared" si="9"/>
        <v>0</v>
      </c>
    </row>
    <row r="84" spans="1:21" s="77" customFormat="1" ht="25.4" hidden="1" customHeight="1">
      <c r="A84" s="3" t="s">
        <v>230</v>
      </c>
      <c r="B84" s="3" t="s">
        <v>645</v>
      </c>
      <c r="C84" s="3"/>
      <c r="D84" s="26" t="s">
        <v>231</v>
      </c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388">
        <f t="shared" si="12"/>
        <v>0</v>
      </c>
      <c r="R84" s="134">
        <f t="shared" si="13"/>
        <v>0</v>
      </c>
      <c r="S84" s="148"/>
      <c r="T84" s="40">
        <f t="shared" si="9"/>
        <v>0</v>
      </c>
    </row>
    <row r="85" spans="1:21" s="77" customFormat="1" ht="25.4" hidden="1" customHeight="1">
      <c r="A85" s="3" t="s">
        <v>232</v>
      </c>
      <c r="B85" s="3" t="s">
        <v>645</v>
      </c>
      <c r="C85" s="3"/>
      <c r="D85" s="26" t="s">
        <v>233</v>
      </c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388">
        <f t="shared" si="12"/>
        <v>0</v>
      </c>
      <c r="R85" s="134">
        <f t="shared" si="13"/>
        <v>0</v>
      </c>
      <c r="S85" s="148"/>
      <c r="T85" s="40">
        <f t="shared" si="9"/>
        <v>0</v>
      </c>
    </row>
    <row r="86" spans="1:21" s="77" customFormat="1" ht="25.4" hidden="1" customHeight="1">
      <c r="A86" s="3" t="s">
        <v>234</v>
      </c>
      <c r="B86" s="3" t="s">
        <v>645</v>
      </c>
      <c r="C86" s="3"/>
      <c r="D86" s="26" t="s">
        <v>235</v>
      </c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>
        <f t="shared" si="12"/>
        <v>0</v>
      </c>
      <c r="R86" s="134">
        <f t="shared" si="13"/>
        <v>0</v>
      </c>
      <c r="S86" s="148"/>
      <c r="T86" s="40">
        <f t="shared" si="9"/>
        <v>0</v>
      </c>
    </row>
    <row r="87" spans="1:21" s="77" customFormat="1" ht="25.4" hidden="1" customHeight="1">
      <c r="A87" s="3" t="s">
        <v>422</v>
      </c>
      <c r="B87" s="3" t="s">
        <v>645</v>
      </c>
      <c r="C87" s="3"/>
      <c r="D87" s="26" t="s">
        <v>423</v>
      </c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388">
        <f t="shared" si="12"/>
        <v>0</v>
      </c>
      <c r="R87" s="134">
        <f t="shared" si="13"/>
        <v>0</v>
      </c>
      <c r="S87" s="148"/>
      <c r="T87" s="40">
        <f t="shared" si="9"/>
        <v>0</v>
      </c>
    </row>
    <row r="88" spans="1:21" s="77" customFormat="1" ht="25.4" hidden="1" customHeight="1">
      <c r="A88" s="3" t="s">
        <v>236</v>
      </c>
      <c r="B88" s="3" t="s">
        <v>645</v>
      </c>
      <c r="C88" s="3"/>
      <c r="D88" s="26" t="s">
        <v>237</v>
      </c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388">
        <f t="shared" si="12"/>
        <v>0</v>
      </c>
      <c r="R88" s="134">
        <f t="shared" si="13"/>
        <v>0</v>
      </c>
      <c r="S88" s="148"/>
      <c r="T88" s="40">
        <f t="shared" si="9"/>
        <v>0</v>
      </c>
    </row>
    <row r="89" spans="1:21" s="77" customFormat="1" ht="25.4" hidden="1" customHeight="1">
      <c r="A89" s="3" t="s">
        <v>238</v>
      </c>
      <c r="B89" s="3" t="s">
        <v>645</v>
      </c>
      <c r="C89" s="3"/>
      <c r="D89" s="26" t="s">
        <v>239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>
        <f t="shared" si="12"/>
        <v>0</v>
      </c>
      <c r="R89" s="134">
        <f t="shared" si="13"/>
        <v>0</v>
      </c>
      <c r="S89" s="148"/>
      <c r="T89" s="40">
        <f t="shared" si="9"/>
        <v>0</v>
      </c>
    </row>
    <row r="90" spans="1:21" s="77" customFormat="1" ht="25.4" hidden="1" customHeight="1">
      <c r="A90" s="3" t="s">
        <v>240</v>
      </c>
      <c r="B90" s="3" t="s">
        <v>645</v>
      </c>
      <c r="C90" s="3"/>
      <c r="D90" s="26" t="s">
        <v>241</v>
      </c>
      <c r="E90" s="388"/>
      <c r="F90" s="388"/>
      <c r="G90" s="388"/>
      <c r="H90" s="388"/>
      <c r="I90" s="388"/>
      <c r="J90" s="388"/>
      <c r="K90" s="388"/>
      <c r="L90" s="388"/>
      <c r="M90" s="388"/>
      <c r="N90" s="388"/>
      <c r="O90" s="388"/>
      <c r="P90" s="388"/>
      <c r="Q90" s="388">
        <f t="shared" si="12"/>
        <v>0</v>
      </c>
      <c r="R90" s="134">
        <f t="shared" si="13"/>
        <v>0</v>
      </c>
      <c r="S90" s="148"/>
      <c r="T90" s="40">
        <f t="shared" si="9"/>
        <v>0</v>
      </c>
    </row>
    <row r="91" spans="1:21" s="77" customFormat="1" ht="25.4" customHeight="1">
      <c r="A91" s="3" t="s">
        <v>242</v>
      </c>
      <c r="B91" s="3" t="s">
        <v>645</v>
      </c>
      <c r="C91" s="3"/>
      <c r="D91" s="26" t="s">
        <v>243</v>
      </c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388">
        <f t="shared" si="12"/>
        <v>0</v>
      </c>
      <c r="R91" s="134">
        <f t="shared" si="13"/>
        <v>0</v>
      </c>
      <c r="S91" s="148"/>
      <c r="T91" s="40">
        <f t="shared" si="9"/>
        <v>0</v>
      </c>
    </row>
    <row r="92" spans="1:21" s="77" customFormat="1" ht="25.4" customHeight="1">
      <c r="A92" s="3" t="s">
        <v>244</v>
      </c>
      <c r="B92" s="3" t="s">
        <v>645</v>
      </c>
      <c r="C92" s="3"/>
      <c r="D92" s="26" t="s">
        <v>245</v>
      </c>
      <c r="E92" s="388"/>
      <c r="F92" s="388"/>
      <c r="G92" s="388"/>
      <c r="H92" s="388"/>
      <c r="I92" s="388"/>
      <c r="J92" s="388"/>
      <c r="K92" s="388"/>
      <c r="L92" s="388"/>
      <c r="M92" s="388"/>
      <c r="N92" s="388"/>
      <c r="O92" s="388"/>
      <c r="P92" s="388"/>
      <c r="Q92" s="388">
        <f t="shared" si="12"/>
        <v>0</v>
      </c>
      <c r="R92" s="134">
        <f t="shared" si="13"/>
        <v>0</v>
      </c>
      <c r="S92" s="148"/>
      <c r="T92" s="40">
        <f t="shared" si="9"/>
        <v>0</v>
      </c>
    </row>
    <row r="93" spans="1:21" s="77" customFormat="1" ht="25.4" customHeight="1">
      <c r="A93" s="3" t="s">
        <v>246</v>
      </c>
      <c r="B93" s="3" t="s">
        <v>645</v>
      </c>
      <c r="C93" s="3"/>
      <c r="D93" s="26" t="s">
        <v>247</v>
      </c>
      <c r="E93" s="388"/>
      <c r="F93" s="388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388">
        <f t="shared" si="12"/>
        <v>0</v>
      </c>
      <c r="R93" s="134">
        <f t="shared" si="13"/>
        <v>0</v>
      </c>
      <c r="S93" s="148"/>
      <c r="T93" s="40">
        <f t="shared" si="9"/>
        <v>0</v>
      </c>
    </row>
    <row r="94" spans="1:21" s="77" customFormat="1" ht="25.4" customHeight="1">
      <c r="A94" s="3" t="s">
        <v>248</v>
      </c>
      <c r="B94" s="3" t="s">
        <v>645</v>
      </c>
      <c r="C94" s="3"/>
      <c r="D94" s="26" t="s">
        <v>249</v>
      </c>
      <c r="E94" s="388"/>
      <c r="F94" s="388"/>
      <c r="G94" s="388"/>
      <c r="H94" s="388"/>
      <c r="I94" s="388"/>
      <c r="J94" s="388"/>
      <c r="K94" s="388"/>
      <c r="L94" s="388"/>
      <c r="M94" s="388"/>
      <c r="N94" s="388"/>
      <c r="O94" s="388"/>
      <c r="P94" s="388"/>
      <c r="Q94" s="388">
        <f t="shared" si="12"/>
        <v>0</v>
      </c>
      <c r="R94" s="134">
        <f t="shared" si="13"/>
        <v>0</v>
      </c>
      <c r="S94" s="148"/>
      <c r="T94" s="40">
        <f t="shared" si="9"/>
        <v>0</v>
      </c>
    </row>
    <row r="95" spans="1:21" s="77" customFormat="1" ht="25.4" customHeight="1">
      <c r="A95" s="3" t="s">
        <v>250</v>
      </c>
      <c r="B95" s="3" t="s">
        <v>645</v>
      </c>
      <c r="C95" s="3"/>
      <c r="D95" s="26" t="s">
        <v>251</v>
      </c>
      <c r="E95" s="388">
        <v>200</v>
      </c>
      <c r="F95" s="388">
        <v>200</v>
      </c>
      <c r="G95" s="388">
        <v>200</v>
      </c>
      <c r="H95" s="388">
        <v>200</v>
      </c>
      <c r="I95" s="388">
        <v>200</v>
      </c>
      <c r="J95" s="388">
        <v>200</v>
      </c>
      <c r="K95" s="388">
        <v>200</v>
      </c>
      <c r="L95" s="388">
        <v>200</v>
      </c>
      <c r="M95" s="388">
        <v>200</v>
      </c>
      <c r="N95" s="388">
        <v>200</v>
      </c>
      <c r="O95" s="388">
        <v>200</v>
      </c>
      <c r="P95" s="388">
        <v>200</v>
      </c>
      <c r="Q95" s="388">
        <f t="shared" si="12"/>
        <v>2400</v>
      </c>
      <c r="R95" s="134">
        <f t="shared" si="13"/>
        <v>0.13785180930499713</v>
      </c>
      <c r="S95" s="148"/>
      <c r="T95" s="40" t="e">
        <f t="shared" si="9"/>
        <v>#DIV/0!</v>
      </c>
    </row>
    <row r="96" spans="1:21" s="77" customFormat="1" ht="25.4" customHeight="1">
      <c r="A96" s="3" t="s">
        <v>252</v>
      </c>
      <c r="B96" s="3" t="s">
        <v>645</v>
      </c>
      <c r="C96" s="3"/>
      <c r="D96" s="26" t="s">
        <v>253</v>
      </c>
      <c r="E96" s="389">
        <v>6538.32</v>
      </c>
      <c r="F96" s="389">
        <v>1239.1899999999998</v>
      </c>
      <c r="G96" s="389">
        <v>6779.6399999999994</v>
      </c>
      <c r="H96" s="389">
        <v>5566.0599999999995</v>
      </c>
      <c r="I96" s="389">
        <v>7860.59</v>
      </c>
      <c r="J96" s="389">
        <v>6832.7699999999995</v>
      </c>
      <c r="K96" s="389">
        <v>5947.42</v>
      </c>
      <c r="L96" s="389">
        <v>4610.58</v>
      </c>
      <c r="M96" s="389">
        <v>2111.0100000000002</v>
      </c>
      <c r="N96" s="389">
        <v>10199.470000000001</v>
      </c>
      <c r="O96" s="389">
        <v>9835.56</v>
      </c>
      <c r="P96" s="389">
        <v>9445.9599999999991</v>
      </c>
      <c r="Q96" s="389">
        <f t="shared" si="12"/>
        <v>76966.570000000007</v>
      </c>
      <c r="R96" s="134">
        <f t="shared" si="13"/>
        <v>4.4208253877082138</v>
      </c>
      <c r="S96" s="148"/>
      <c r="T96" s="40" t="e">
        <f t="shared" si="9"/>
        <v>#DIV/0!</v>
      </c>
      <c r="U96" s="77">
        <f>+Q96/375</f>
        <v>205.24418666666668</v>
      </c>
    </row>
    <row r="97" spans="1:20" s="77" customFormat="1" ht="25.4" customHeight="1">
      <c r="A97" s="3" t="s">
        <v>254</v>
      </c>
      <c r="B97" s="3" t="s">
        <v>645</v>
      </c>
      <c r="C97" s="3"/>
      <c r="D97" s="26" t="s">
        <v>255</v>
      </c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>
        <f t="shared" si="12"/>
        <v>0</v>
      </c>
      <c r="R97" s="134">
        <f t="shared" si="13"/>
        <v>0</v>
      </c>
      <c r="S97" s="148"/>
      <c r="T97" s="40">
        <f t="shared" ref="T97:T109" si="23">-IF(Q97-S97=0,0,(Q97-S97)/S97)</f>
        <v>0</v>
      </c>
    </row>
    <row r="98" spans="1:20" s="77" customFormat="1" ht="25.4" customHeight="1">
      <c r="A98" s="3" t="s">
        <v>256</v>
      </c>
      <c r="B98" s="3" t="s">
        <v>645</v>
      </c>
      <c r="C98" s="3"/>
      <c r="D98" s="26" t="s">
        <v>257</v>
      </c>
      <c r="E98" s="388">
        <v>100</v>
      </c>
      <c r="F98" s="388">
        <v>100</v>
      </c>
      <c r="G98" s="388">
        <v>100</v>
      </c>
      <c r="H98" s="388">
        <v>100</v>
      </c>
      <c r="I98" s="388">
        <v>100</v>
      </c>
      <c r="J98" s="388">
        <v>100</v>
      </c>
      <c r="K98" s="388">
        <v>100</v>
      </c>
      <c r="L98" s="388">
        <v>100</v>
      </c>
      <c r="M98" s="388">
        <v>100</v>
      </c>
      <c r="N98" s="388">
        <v>100</v>
      </c>
      <c r="O98" s="388">
        <v>100</v>
      </c>
      <c r="P98" s="388">
        <v>100</v>
      </c>
      <c r="Q98" s="388">
        <f t="shared" si="12"/>
        <v>1200</v>
      </c>
      <c r="R98" s="134">
        <f t="shared" si="13"/>
        <v>6.8925904652498565E-2</v>
      </c>
      <c r="S98" s="148"/>
      <c r="T98" s="40" t="e">
        <f t="shared" si="23"/>
        <v>#DIV/0!</v>
      </c>
    </row>
    <row r="99" spans="1:20" s="77" customFormat="1" ht="25.4" customHeight="1">
      <c r="A99" s="3" t="s">
        <v>258</v>
      </c>
      <c r="B99" s="3" t="s">
        <v>645</v>
      </c>
      <c r="C99" s="3"/>
      <c r="D99" s="26" t="s">
        <v>259</v>
      </c>
      <c r="E99" s="388"/>
      <c r="F99" s="388"/>
      <c r="G99" s="388"/>
      <c r="H99" s="388"/>
      <c r="I99" s="388"/>
      <c r="J99" s="388"/>
      <c r="K99" s="388"/>
      <c r="L99" s="388"/>
      <c r="M99" s="388"/>
      <c r="N99" s="388"/>
      <c r="O99" s="388"/>
      <c r="P99" s="388"/>
      <c r="Q99" s="388">
        <f t="shared" si="12"/>
        <v>0</v>
      </c>
      <c r="R99" s="134">
        <f t="shared" si="13"/>
        <v>0</v>
      </c>
      <c r="S99" s="148"/>
      <c r="T99" s="40">
        <f t="shared" si="23"/>
        <v>0</v>
      </c>
    </row>
    <row r="100" spans="1:20" s="77" customFormat="1" ht="25.4" customHeight="1">
      <c r="A100" s="3" t="s">
        <v>260</v>
      </c>
      <c r="B100" s="3" t="s">
        <v>645</v>
      </c>
      <c r="C100" s="3"/>
      <c r="D100" s="26" t="s">
        <v>261</v>
      </c>
      <c r="E100" s="388"/>
      <c r="F100" s="388"/>
      <c r="G100" s="388"/>
      <c r="H100" s="388"/>
      <c r="I100" s="388"/>
      <c r="J100" s="388"/>
      <c r="K100" s="388"/>
      <c r="L100" s="388"/>
      <c r="M100" s="388"/>
      <c r="N100" s="388"/>
      <c r="O100" s="388"/>
      <c r="P100" s="388"/>
      <c r="Q100" s="388">
        <f t="shared" si="12"/>
        <v>0</v>
      </c>
      <c r="R100" s="134">
        <f t="shared" si="13"/>
        <v>0</v>
      </c>
      <c r="S100" s="148"/>
      <c r="T100" s="40">
        <f t="shared" si="23"/>
        <v>0</v>
      </c>
    </row>
    <row r="101" spans="1:20" s="77" customFormat="1" ht="25.4" customHeight="1">
      <c r="A101" s="3" t="s">
        <v>262</v>
      </c>
      <c r="B101" s="3" t="s">
        <v>645</v>
      </c>
      <c r="C101" s="3"/>
      <c r="D101" s="26" t="s">
        <v>263</v>
      </c>
      <c r="E101" s="388">
        <f>ROUND(E175*1.55,2)</f>
        <v>0</v>
      </c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388">
        <f t="shared" si="12"/>
        <v>0</v>
      </c>
      <c r="R101" s="134">
        <f t="shared" si="13"/>
        <v>0</v>
      </c>
      <c r="S101" s="148"/>
      <c r="T101" s="40">
        <f t="shared" si="23"/>
        <v>0</v>
      </c>
    </row>
    <row r="102" spans="1:20" s="77" customFormat="1" ht="25.4" customHeight="1">
      <c r="A102" s="3" t="s">
        <v>264</v>
      </c>
      <c r="B102" s="3" t="s">
        <v>645</v>
      </c>
      <c r="C102" s="3"/>
      <c r="D102" s="26" t="s">
        <v>265</v>
      </c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388"/>
      <c r="P102" s="388"/>
      <c r="Q102" s="388">
        <f t="shared" si="12"/>
        <v>0</v>
      </c>
      <c r="R102" s="134">
        <f t="shared" si="13"/>
        <v>0</v>
      </c>
      <c r="S102" s="148"/>
      <c r="T102" s="40">
        <f t="shared" si="23"/>
        <v>0</v>
      </c>
    </row>
    <row r="103" spans="1:20" s="77" customFormat="1" ht="25.4" customHeight="1">
      <c r="A103" s="3" t="s">
        <v>266</v>
      </c>
      <c r="B103" s="3" t="s">
        <v>645</v>
      </c>
      <c r="C103" s="3"/>
      <c r="D103" s="26" t="s">
        <v>267</v>
      </c>
      <c r="E103" s="388"/>
      <c r="F103" s="388"/>
      <c r="G103" s="388"/>
      <c r="H103" s="388"/>
      <c r="I103" s="388"/>
      <c r="J103" s="388"/>
      <c r="K103" s="388"/>
      <c r="L103" s="388"/>
      <c r="M103" s="388"/>
      <c r="N103" s="388"/>
      <c r="O103" s="388"/>
      <c r="P103" s="388"/>
      <c r="Q103" s="388">
        <f t="shared" si="12"/>
        <v>0</v>
      </c>
      <c r="R103" s="134">
        <f t="shared" si="13"/>
        <v>0</v>
      </c>
      <c r="S103" s="148"/>
      <c r="T103" s="40">
        <f t="shared" si="23"/>
        <v>0</v>
      </c>
    </row>
    <row r="104" spans="1:20" s="77" customFormat="1" ht="25.4" customHeight="1">
      <c r="A104" s="3" t="s">
        <v>268</v>
      </c>
      <c r="B104" s="3" t="s">
        <v>645</v>
      </c>
      <c r="C104" s="3"/>
      <c r="D104" s="26" t="s">
        <v>269</v>
      </c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388">
        <f t="shared" ref="Q104:Q108" si="24">SUM(E104:P104)</f>
        <v>0</v>
      </c>
      <c r="R104" s="134">
        <f t="shared" si="13"/>
        <v>0</v>
      </c>
      <c r="S104" s="148"/>
      <c r="T104" s="40">
        <f t="shared" si="23"/>
        <v>0</v>
      </c>
    </row>
    <row r="105" spans="1:20" s="77" customFormat="1" ht="25.4" customHeight="1">
      <c r="A105" s="3" t="s">
        <v>270</v>
      </c>
      <c r="B105" s="3" t="s">
        <v>645</v>
      </c>
      <c r="C105" s="3"/>
      <c r="D105" s="26" t="s">
        <v>271</v>
      </c>
      <c r="E105" s="388"/>
      <c r="F105" s="388"/>
      <c r="G105" s="388"/>
      <c r="H105" s="388"/>
      <c r="I105" s="388"/>
      <c r="J105" s="388"/>
      <c r="K105" s="388"/>
      <c r="L105" s="388"/>
      <c r="M105" s="388"/>
      <c r="N105" s="388"/>
      <c r="O105" s="388"/>
      <c r="P105" s="388"/>
      <c r="Q105" s="388">
        <f t="shared" si="24"/>
        <v>0</v>
      </c>
      <c r="R105" s="134">
        <f>Q105/$Q$118</f>
        <v>0</v>
      </c>
      <c r="S105" s="148"/>
      <c r="T105" s="40">
        <f t="shared" si="23"/>
        <v>0</v>
      </c>
    </row>
    <row r="106" spans="1:20" s="77" customFormat="1" ht="25.4" customHeight="1">
      <c r="A106" s="3" t="s">
        <v>272</v>
      </c>
      <c r="B106" s="3" t="s">
        <v>645</v>
      </c>
      <c r="C106" s="3"/>
      <c r="D106" s="26" t="s">
        <v>273</v>
      </c>
      <c r="E106" s="388"/>
      <c r="F106" s="388"/>
      <c r="G106" s="388"/>
      <c r="H106" s="388"/>
      <c r="I106" s="388"/>
      <c r="J106" s="388"/>
      <c r="K106" s="388"/>
      <c r="L106" s="388"/>
      <c r="M106" s="388"/>
      <c r="N106" s="388"/>
      <c r="O106" s="388"/>
      <c r="P106" s="388"/>
      <c r="Q106" s="388">
        <f t="shared" si="24"/>
        <v>0</v>
      </c>
      <c r="R106" s="134">
        <f>Q106/$Q$118</f>
        <v>0</v>
      </c>
      <c r="S106" s="148"/>
      <c r="T106" s="40">
        <f t="shared" si="23"/>
        <v>0</v>
      </c>
    </row>
    <row r="107" spans="1:20" s="77" customFormat="1" ht="25.4" customHeight="1">
      <c r="A107" s="3" t="s">
        <v>274</v>
      </c>
      <c r="B107" s="3" t="s">
        <v>645</v>
      </c>
      <c r="C107" s="3"/>
      <c r="D107" s="26" t="s">
        <v>275</v>
      </c>
      <c r="E107" s="388">
        <f>ROUND(E118*5,2)</f>
        <v>6800</v>
      </c>
      <c r="F107" s="388">
        <f t="shared" ref="F107:P107" si="25">ROUND(F118*5,2)</f>
        <v>175</v>
      </c>
      <c r="G107" s="388">
        <f t="shared" si="25"/>
        <v>8500</v>
      </c>
      <c r="H107" s="388">
        <f t="shared" si="25"/>
        <v>5400</v>
      </c>
      <c r="I107" s="388">
        <f t="shared" si="25"/>
        <v>7350</v>
      </c>
      <c r="J107" s="388">
        <f t="shared" si="25"/>
        <v>8450</v>
      </c>
      <c r="K107" s="388">
        <f t="shared" si="25"/>
        <v>6800</v>
      </c>
      <c r="L107" s="388">
        <f t="shared" si="25"/>
        <v>3900</v>
      </c>
      <c r="M107" s="388">
        <f t="shared" si="25"/>
        <v>925</v>
      </c>
      <c r="N107" s="388">
        <f t="shared" si="25"/>
        <v>13600</v>
      </c>
      <c r="O107" s="388">
        <f t="shared" si="25"/>
        <v>13400</v>
      </c>
      <c r="P107" s="388">
        <f t="shared" si="25"/>
        <v>11750</v>
      </c>
      <c r="Q107" s="388">
        <f t="shared" si="24"/>
        <v>87050</v>
      </c>
      <c r="R107" s="134">
        <f>Q107/$Q$118</f>
        <v>5</v>
      </c>
      <c r="S107" s="148"/>
      <c r="T107" s="40"/>
    </row>
    <row r="108" spans="1:20" s="77" customFormat="1" ht="25.4" customHeight="1">
      <c r="A108" s="3" t="s">
        <v>455</v>
      </c>
      <c r="B108" s="3" t="s">
        <v>645</v>
      </c>
      <c r="C108" s="3"/>
      <c r="D108" s="26" t="s">
        <v>464</v>
      </c>
      <c r="E108" s="388">
        <f>+STW!E147</f>
        <v>83094.850000000006</v>
      </c>
      <c r="F108" s="388">
        <f>+STW!F147</f>
        <v>4575.18</v>
      </c>
      <c r="G108" s="388">
        <f>+STW!G147</f>
        <v>113110.58</v>
      </c>
      <c r="H108" s="388">
        <f>+STW!H147</f>
        <v>82398.12</v>
      </c>
      <c r="I108" s="388">
        <f>+STW!I147</f>
        <v>105007.07</v>
      </c>
      <c r="J108" s="388">
        <f>+STW!J147</f>
        <v>97661.64</v>
      </c>
      <c r="K108" s="388">
        <f>+STW!K147</f>
        <v>73920.25</v>
      </c>
      <c r="L108" s="388">
        <f>+STW!L147</f>
        <v>52624.6</v>
      </c>
      <c r="M108" s="388">
        <f>+STW!M147</f>
        <v>17597.099999999999</v>
      </c>
      <c r="N108" s="388">
        <f>+STW!N147</f>
        <v>147693.47</v>
      </c>
      <c r="O108" s="388">
        <f>+STW!O147</f>
        <v>134472.53</v>
      </c>
      <c r="P108" s="388">
        <f>+STW!P147</f>
        <v>117939.17</v>
      </c>
      <c r="Q108" s="388">
        <f t="shared" si="24"/>
        <v>1030094.5599999999</v>
      </c>
      <c r="R108" s="134">
        <f>Q108/$Q$118</f>
        <v>59.166832854681218</v>
      </c>
      <c r="S108" s="148"/>
      <c r="T108" s="40" t="e">
        <f t="shared" si="23"/>
        <v>#DIV/0!</v>
      </c>
    </row>
    <row r="109" spans="1:20" s="77" customFormat="1" ht="25.4" customHeight="1">
      <c r="A109" s="3"/>
      <c r="B109" s="3"/>
      <c r="C109" s="3"/>
      <c r="D109" s="19" t="s">
        <v>1085</v>
      </c>
      <c r="E109" s="151">
        <f>SUM(E40:E108)</f>
        <v>135677.17000000001</v>
      </c>
      <c r="F109" s="151">
        <f t="shared" ref="F109:Q109" si="26">SUM(F40:F108)</f>
        <v>10554.369999999999</v>
      </c>
      <c r="G109" s="151">
        <f t="shared" si="26"/>
        <v>170414.22</v>
      </c>
      <c r="H109" s="151">
        <f t="shared" si="26"/>
        <v>127248.18</v>
      </c>
      <c r="I109" s="151">
        <f t="shared" si="26"/>
        <v>163569.66</v>
      </c>
      <c r="J109" s="151">
        <f t="shared" si="26"/>
        <v>163352.40999999997</v>
      </c>
      <c r="K109" s="151">
        <f t="shared" si="26"/>
        <v>123679.67</v>
      </c>
      <c r="L109" s="151">
        <f t="shared" si="26"/>
        <v>86475.18</v>
      </c>
      <c r="M109" s="151">
        <f t="shared" si="26"/>
        <v>34496.11</v>
      </c>
      <c r="N109" s="151">
        <f t="shared" si="26"/>
        <v>244044.94</v>
      </c>
      <c r="O109" s="151">
        <f t="shared" si="26"/>
        <v>229376.09</v>
      </c>
      <c r="P109" s="151">
        <f t="shared" si="26"/>
        <v>203213.13</v>
      </c>
      <c r="Q109" s="151">
        <f t="shared" si="26"/>
        <v>1692101.13</v>
      </c>
      <c r="R109" s="134">
        <f>Q109/$Q$118</f>
        <v>97.191334290637556</v>
      </c>
      <c r="S109" s="148"/>
      <c r="T109" s="40" t="e">
        <f t="shared" si="23"/>
        <v>#DIV/0!</v>
      </c>
    </row>
    <row r="110" spans="1:20" s="77" customFormat="1" ht="25.4" customHeight="1">
      <c r="A110" s="3"/>
      <c r="B110" s="3"/>
      <c r="C110" s="3"/>
      <c r="D110" s="19" t="s">
        <v>1086</v>
      </c>
      <c r="E110" s="151">
        <f>E29-E35-E37-E109</f>
        <v>155599.31999999998</v>
      </c>
      <c r="F110" s="151">
        <f t="shared" ref="F110:Q110" si="27">F29-F35-F37-F109</f>
        <v>-31308.76</v>
      </c>
      <c r="G110" s="151">
        <f t="shared" si="27"/>
        <v>300317.59000000008</v>
      </c>
      <c r="H110" s="151">
        <f t="shared" si="27"/>
        <v>135813.02000000002</v>
      </c>
      <c r="I110" s="151">
        <f t="shared" si="27"/>
        <v>238094.92999999996</v>
      </c>
      <c r="J110" s="151">
        <f t="shared" si="27"/>
        <v>225668.57000000007</v>
      </c>
      <c r="K110" s="151">
        <f t="shared" si="27"/>
        <v>155417.48000000004</v>
      </c>
      <c r="L110" s="151">
        <f t="shared" si="27"/>
        <v>57511.150000000023</v>
      </c>
      <c r="M110" s="151">
        <f t="shared" si="27"/>
        <v>-29282.809999999998</v>
      </c>
      <c r="N110" s="151">
        <f t="shared" si="27"/>
        <v>700491.96</v>
      </c>
      <c r="O110" s="151">
        <f t="shared" si="27"/>
        <v>552592.04</v>
      </c>
      <c r="P110" s="151">
        <f t="shared" si="27"/>
        <v>422664.57999999996</v>
      </c>
      <c r="Q110" s="151">
        <f t="shared" si="27"/>
        <v>2883579.0700000003</v>
      </c>
      <c r="R110" s="151"/>
      <c r="S110" s="148"/>
      <c r="T110" s="40" t="e">
        <f t="shared" ref="T110:T126" si="28">IF(Q110-S110=0,0,(Q110-S110)/S110)</f>
        <v>#DIV/0!</v>
      </c>
    </row>
    <row r="111" spans="1:20" s="77" customFormat="1" ht="25.4" customHeight="1">
      <c r="A111" s="3"/>
      <c r="B111" s="3"/>
      <c r="C111" s="3"/>
      <c r="D111" s="19" t="s">
        <v>1087</v>
      </c>
      <c r="E111" s="129">
        <f t="shared" ref="E111:Q111" si="29">IF(E110=0,0,E110/E29)</f>
        <v>0.20481679610372514</v>
      </c>
      <c r="F111" s="129">
        <f t="shared" si="29"/>
        <v>-0.96334646153846148</v>
      </c>
      <c r="G111" s="129">
        <f t="shared" si="29"/>
        <v>0.28150199655056063</v>
      </c>
      <c r="H111" s="129">
        <f t="shared" si="29"/>
        <v>0.1980936697782964</v>
      </c>
      <c r="I111" s="129">
        <f t="shared" si="29"/>
        <v>0.22806027777777774</v>
      </c>
      <c r="J111" s="129">
        <f t="shared" si="29"/>
        <v>0.23961411127627955</v>
      </c>
      <c r="K111" s="129">
        <f t="shared" si="29"/>
        <v>0.20449668421052636</v>
      </c>
      <c r="L111" s="129">
        <f t="shared" si="29"/>
        <v>0.11548423694779121</v>
      </c>
      <c r="M111" s="129">
        <f t="shared" si="29"/>
        <v>-0.23240325396825395</v>
      </c>
      <c r="N111" s="129">
        <f t="shared" si="29"/>
        <v>0.34595612406163567</v>
      </c>
      <c r="O111" s="129">
        <f t="shared" si="29"/>
        <v>0.32144263858995986</v>
      </c>
      <c r="P111" s="129">
        <f t="shared" si="29"/>
        <v>0.2939661844484629</v>
      </c>
      <c r="Q111" s="129">
        <f t="shared" si="29"/>
        <v>0.25987226819416487</v>
      </c>
      <c r="R111" s="129"/>
      <c r="S111" s="40"/>
      <c r="T111" s="40" t="e">
        <f t="shared" si="28"/>
        <v>#DIV/0!</v>
      </c>
    </row>
    <row r="112" spans="1:20" s="77" customFormat="1" ht="25.4" customHeight="1">
      <c r="A112" s="3"/>
      <c r="B112" s="3"/>
      <c r="C112" s="3"/>
      <c r="D112" s="19" t="s">
        <v>1088</v>
      </c>
      <c r="E112" s="3"/>
      <c r="F112" s="3"/>
      <c r="G112" s="3"/>
      <c r="H112" s="3"/>
      <c r="I112" s="3"/>
      <c r="J112" s="3"/>
      <c r="K112" s="3"/>
      <c r="L112" s="3"/>
      <c r="S112" s="148"/>
      <c r="T112" s="40"/>
    </row>
    <row r="113" spans="1:20" s="77" customFormat="1" ht="25.4" customHeight="1">
      <c r="A113" s="50" t="s">
        <v>425</v>
      </c>
      <c r="B113" s="3" t="s">
        <v>645</v>
      </c>
      <c r="C113" s="3"/>
      <c r="D113" s="26" t="s">
        <v>636</v>
      </c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162">
        <f>SUM(E113:P113)</f>
        <v>0</v>
      </c>
      <c r="R113" s="162"/>
      <c r="S113" s="148"/>
      <c r="T113" s="40">
        <f t="shared" si="28"/>
        <v>0</v>
      </c>
    </row>
    <row r="114" spans="1:20" s="77" customFormat="1" ht="25.4" customHeight="1">
      <c r="A114" s="3" t="s">
        <v>425</v>
      </c>
      <c r="B114" s="3" t="s">
        <v>645</v>
      </c>
      <c r="C114" s="3"/>
      <c r="D114" s="26" t="s">
        <v>638</v>
      </c>
      <c r="E114" s="74">
        <v>400</v>
      </c>
      <c r="F114" s="74">
        <v>0</v>
      </c>
      <c r="G114" s="74">
        <v>680</v>
      </c>
      <c r="H114" s="74">
        <v>300</v>
      </c>
      <c r="I114" s="74">
        <v>900</v>
      </c>
      <c r="J114" s="74">
        <v>600</v>
      </c>
      <c r="K114" s="74">
        <v>500</v>
      </c>
      <c r="L114" s="74">
        <v>500</v>
      </c>
      <c r="M114" s="74">
        <v>0</v>
      </c>
      <c r="N114" s="74">
        <v>1600</v>
      </c>
      <c r="O114" s="74">
        <v>1200</v>
      </c>
      <c r="P114" s="74">
        <v>600</v>
      </c>
      <c r="Q114" s="162">
        <f t="shared" ref="Q114:Q117" si="30">SUM(E114:P114)</f>
        <v>7280</v>
      </c>
      <c r="R114" s="162"/>
      <c r="S114" s="148"/>
      <c r="T114" s="40" t="e">
        <f t="shared" si="28"/>
        <v>#DIV/0!</v>
      </c>
    </row>
    <row r="115" spans="1:20" s="77" customFormat="1" ht="25.4" customHeight="1">
      <c r="A115" s="3" t="s">
        <v>425</v>
      </c>
      <c r="B115" s="3" t="s">
        <v>645</v>
      </c>
      <c r="C115" s="3"/>
      <c r="D115" s="26" t="s">
        <v>640</v>
      </c>
      <c r="E115" s="74">
        <v>750</v>
      </c>
      <c r="F115" s="74">
        <v>0</v>
      </c>
      <c r="G115" s="74">
        <v>500</v>
      </c>
      <c r="H115" s="74">
        <v>250</v>
      </c>
      <c r="I115" s="74">
        <v>250</v>
      </c>
      <c r="J115" s="74">
        <v>750</v>
      </c>
      <c r="K115" s="74">
        <v>500</v>
      </c>
      <c r="L115" s="74">
        <v>100</v>
      </c>
      <c r="M115" s="74">
        <v>0</v>
      </c>
      <c r="N115" s="74">
        <v>400</v>
      </c>
      <c r="O115" s="74">
        <v>750</v>
      </c>
      <c r="P115" s="74">
        <v>1000</v>
      </c>
      <c r="Q115" s="162">
        <f t="shared" si="30"/>
        <v>5250</v>
      </c>
      <c r="R115" s="162"/>
      <c r="S115" s="148"/>
      <c r="T115" s="40" t="e">
        <f t="shared" si="28"/>
        <v>#DIV/0!</v>
      </c>
    </row>
    <row r="116" spans="1:20" s="77" customFormat="1" ht="25.4" customHeight="1">
      <c r="A116" s="3" t="s">
        <v>425</v>
      </c>
      <c r="B116" s="3" t="s">
        <v>645</v>
      </c>
      <c r="C116" s="3"/>
      <c r="D116" s="26" t="s">
        <v>642</v>
      </c>
      <c r="E116" s="74">
        <v>210</v>
      </c>
      <c r="F116" s="74">
        <v>35</v>
      </c>
      <c r="G116" s="74">
        <v>520</v>
      </c>
      <c r="H116" s="74">
        <v>530</v>
      </c>
      <c r="I116" s="74">
        <v>320</v>
      </c>
      <c r="J116" s="74">
        <v>340</v>
      </c>
      <c r="K116" s="74">
        <v>360</v>
      </c>
      <c r="L116" s="74">
        <v>180</v>
      </c>
      <c r="M116" s="74">
        <v>185</v>
      </c>
      <c r="N116" s="74">
        <v>720</v>
      </c>
      <c r="O116" s="74">
        <v>730</v>
      </c>
      <c r="P116" s="74">
        <v>750</v>
      </c>
      <c r="Q116" s="162">
        <f t="shared" si="30"/>
        <v>4880</v>
      </c>
      <c r="R116" s="162"/>
      <c r="S116" s="148"/>
      <c r="T116" s="40" t="e">
        <f t="shared" si="28"/>
        <v>#DIV/0!</v>
      </c>
    </row>
    <row r="117" spans="1:20" s="77" customFormat="1" ht="25.4" customHeight="1">
      <c r="A117" s="3" t="s">
        <v>425</v>
      </c>
      <c r="B117" s="3" t="s">
        <v>645</v>
      </c>
      <c r="C117" s="3"/>
      <c r="D117" s="26" t="s">
        <v>644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/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162">
        <f t="shared" si="30"/>
        <v>0</v>
      </c>
      <c r="R117" s="162"/>
      <c r="S117" s="148"/>
      <c r="T117" s="40">
        <f>IF(S117&lt;&gt;0,(Q117-S117)/S117,1)</f>
        <v>1</v>
      </c>
    </row>
    <row r="118" spans="1:20" s="77" customFormat="1" ht="25.4" customHeight="1">
      <c r="A118" s="3"/>
      <c r="B118" s="3"/>
      <c r="C118" s="3"/>
      <c r="D118" s="19" t="s">
        <v>1089</v>
      </c>
      <c r="E118" s="160">
        <f>SUM(E113:E117)</f>
        <v>1360</v>
      </c>
      <c r="F118" s="160">
        <f t="shared" ref="F118:Q118" si="31">SUM(F113:F117)</f>
        <v>35</v>
      </c>
      <c r="G118" s="160">
        <f t="shared" si="31"/>
        <v>1700</v>
      </c>
      <c r="H118" s="160">
        <f t="shared" si="31"/>
        <v>1080</v>
      </c>
      <c r="I118" s="160">
        <f t="shared" si="31"/>
        <v>1470</v>
      </c>
      <c r="J118" s="160">
        <f t="shared" si="31"/>
        <v>1690</v>
      </c>
      <c r="K118" s="160">
        <f t="shared" si="31"/>
        <v>1360</v>
      </c>
      <c r="L118" s="160">
        <f t="shared" si="31"/>
        <v>780</v>
      </c>
      <c r="M118" s="160">
        <f t="shared" si="31"/>
        <v>185</v>
      </c>
      <c r="N118" s="160">
        <f t="shared" si="31"/>
        <v>2720</v>
      </c>
      <c r="O118" s="160">
        <f t="shared" si="31"/>
        <v>2680</v>
      </c>
      <c r="P118" s="160">
        <f t="shared" si="31"/>
        <v>2350</v>
      </c>
      <c r="Q118" s="160">
        <f t="shared" si="31"/>
        <v>17410</v>
      </c>
      <c r="R118" s="160"/>
      <c r="S118" s="148"/>
      <c r="T118" s="40" t="e">
        <f t="shared" si="28"/>
        <v>#DIV/0!</v>
      </c>
    </row>
    <row r="119" spans="1:20" s="77" customFormat="1" ht="25.4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S119" s="148"/>
      <c r="T119" s="40"/>
    </row>
    <row r="120" spans="1:20" s="77" customFormat="1" ht="25.4" customHeight="1">
      <c r="A120" s="3"/>
      <c r="B120" s="3"/>
      <c r="C120" s="3"/>
      <c r="D120" s="19" t="s">
        <v>1090</v>
      </c>
      <c r="E120" s="3"/>
      <c r="F120" s="3"/>
      <c r="G120" s="3"/>
      <c r="H120" s="3"/>
      <c r="I120" s="3"/>
      <c r="J120" s="3"/>
      <c r="K120" s="3"/>
      <c r="L120" s="3"/>
      <c r="S120" s="148"/>
      <c r="T120" s="40">
        <f t="shared" si="28"/>
        <v>0</v>
      </c>
    </row>
    <row r="121" spans="1:20" s="77" customFormat="1" ht="25.4" customHeight="1">
      <c r="A121" s="3"/>
      <c r="B121" s="3"/>
      <c r="C121" s="3"/>
      <c r="D121" s="26" t="s">
        <v>636</v>
      </c>
      <c r="E121" s="61">
        <f t="shared" ref="E121:K125" si="32">IF(E113=0,0,ROUND(E12/E113,2))</f>
        <v>0</v>
      </c>
      <c r="F121" s="61">
        <f t="shared" si="32"/>
        <v>0</v>
      </c>
      <c r="G121" s="61">
        <f t="shared" si="32"/>
        <v>0</v>
      </c>
      <c r="H121" s="61">
        <f t="shared" si="32"/>
        <v>0</v>
      </c>
      <c r="I121" s="61">
        <f t="shared" si="32"/>
        <v>0</v>
      </c>
      <c r="J121" s="61">
        <f t="shared" si="32"/>
        <v>0</v>
      </c>
      <c r="K121" s="61">
        <f t="shared" si="32"/>
        <v>0</v>
      </c>
      <c r="L121" s="61">
        <f t="shared" ref="L121:P125" si="33">IF(L113=0,0,ROUND(L12/L113,2))</f>
        <v>0</v>
      </c>
      <c r="M121" s="61">
        <f t="shared" si="33"/>
        <v>0</v>
      </c>
      <c r="N121" s="61">
        <f t="shared" si="33"/>
        <v>0</v>
      </c>
      <c r="O121" s="61">
        <f t="shared" si="33"/>
        <v>0</v>
      </c>
      <c r="P121" s="61">
        <f t="shared" si="33"/>
        <v>0</v>
      </c>
      <c r="Q121" s="61">
        <f>IF(Q113=0,0,ROUND(Q12/Q113,2))</f>
        <v>0</v>
      </c>
      <c r="R121" s="163"/>
      <c r="S121" s="148"/>
      <c r="T121" s="40">
        <f t="shared" si="28"/>
        <v>0</v>
      </c>
    </row>
    <row r="122" spans="1:20" s="77" customFormat="1" ht="25.4" customHeight="1">
      <c r="A122" s="3"/>
      <c r="B122" s="3"/>
      <c r="C122" s="3"/>
      <c r="D122" s="26" t="s">
        <v>638</v>
      </c>
      <c r="E122" s="61">
        <f t="shared" si="32"/>
        <v>688</v>
      </c>
      <c r="F122" s="61">
        <f t="shared" si="32"/>
        <v>0</v>
      </c>
      <c r="G122" s="61">
        <f t="shared" si="32"/>
        <v>688</v>
      </c>
      <c r="H122" s="61">
        <f t="shared" si="32"/>
        <v>688</v>
      </c>
      <c r="I122" s="61">
        <f t="shared" si="32"/>
        <v>788</v>
      </c>
      <c r="J122" s="61">
        <f t="shared" si="32"/>
        <v>688</v>
      </c>
      <c r="K122" s="61">
        <f t="shared" si="32"/>
        <v>688</v>
      </c>
      <c r="L122" s="61">
        <f>IF(L114=0,0,ROUND(L13/L114,2))</f>
        <v>688</v>
      </c>
      <c r="M122" s="61">
        <f t="shared" si="33"/>
        <v>0</v>
      </c>
      <c r="N122" s="61">
        <f t="shared" si="33"/>
        <v>788</v>
      </c>
      <c r="O122" s="61">
        <f t="shared" si="33"/>
        <v>688</v>
      </c>
      <c r="P122" s="61">
        <f t="shared" si="33"/>
        <v>688</v>
      </c>
      <c r="Q122" s="61">
        <f>IF(Q114=0,0,ROUND(Q13/Q114,2))</f>
        <v>722.34</v>
      </c>
      <c r="R122" s="163"/>
      <c r="S122" s="148"/>
      <c r="T122" s="40" t="e">
        <f t="shared" si="28"/>
        <v>#DIV/0!</v>
      </c>
    </row>
    <row r="123" spans="1:20" s="77" customFormat="1" ht="25.4" customHeight="1">
      <c r="A123" s="3"/>
      <c r="B123" s="3"/>
      <c r="C123" s="3"/>
      <c r="D123" s="26" t="s">
        <v>640</v>
      </c>
      <c r="E123" s="61">
        <f t="shared" si="32"/>
        <v>350</v>
      </c>
      <c r="F123" s="61">
        <f t="shared" si="32"/>
        <v>0</v>
      </c>
      <c r="G123" s="61">
        <f t="shared" si="32"/>
        <v>350</v>
      </c>
      <c r="H123" s="61">
        <f t="shared" si="32"/>
        <v>320</v>
      </c>
      <c r="I123" s="61">
        <f t="shared" si="32"/>
        <v>320</v>
      </c>
      <c r="J123" s="61">
        <f t="shared" si="32"/>
        <v>300</v>
      </c>
      <c r="K123" s="61">
        <f t="shared" si="32"/>
        <v>300</v>
      </c>
      <c r="L123" s="61">
        <f>IF(L115=0,0,ROUND(L14/L115,2))</f>
        <v>300</v>
      </c>
      <c r="M123" s="61">
        <f t="shared" si="33"/>
        <v>0</v>
      </c>
      <c r="N123" s="61">
        <f t="shared" si="33"/>
        <v>350</v>
      </c>
      <c r="O123" s="61">
        <f t="shared" si="33"/>
        <v>350</v>
      </c>
      <c r="P123" s="61">
        <f t="shared" si="33"/>
        <v>350</v>
      </c>
      <c r="Q123" s="61">
        <f>IF(Q115=0,0,ROUND(Q14/Q115,2))</f>
        <v>334.29</v>
      </c>
      <c r="R123" s="163"/>
      <c r="S123" s="148"/>
      <c r="T123" s="40" t="e">
        <f t="shared" si="28"/>
        <v>#DIV/0!</v>
      </c>
    </row>
    <row r="124" spans="1:20" s="77" customFormat="1" ht="25.4" customHeight="1">
      <c r="A124" s="3"/>
      <c r="B124" s="3"/>
      <c r="C124" s="3"/>
      <c r="D124" s="26" t="s">
        <v>642</v>
      </c>
      <c r="E124" s="61">
        <f t="shared" si="32"/>
        <v>700</v>
      </c>
      <c r="F124" s="61">
        <f t="shared" si="32"/>
        <v>700</v>
      </c>
      <c r="G124" s="61">
        <f t="shared" si="32"/>
        <v>700</v>
      </c>
      <c r="H124" s="61">
        <f t="shared" si="32"/>
        <v>640</v>
      </c>
      <c r="I124" s="61">
        <f t="shared" si="32"/>
        <v>640</v>
      </c>
      <c r="J124" s="61">
        <f t="shared" si="32"/>
        <v>600</v>
      </c>
      <c r="K124" s="61">
        <f t="shared" si="32"/>
        <v>600</v>
      </c>
      <c r="L124" s="61">
        <f>IF(L116=0,0,ROUND(L15/L116,2))</f>
        <v>600</v>
      </c>
      <c r="M124" s="61">
        <f t="shared" si="33"/>
        <v>600</v>
      </c>
      <c r="N124" s="61">
        <f t="shared" si="33"/>
        <v>700</v>
      </c>
      <c r="O124" s="61">
        <f t="shared" si="33"/>
        <v>700</v>
      </c>
      <c r="P124" s="61">
        <f t="shared" si="33"/>
        <v>700</v>
      </c>
      <c r="Q124" s="61">
        <f>IF(Q116=0,0,ROUND(Q15/Q116,2))</f>
        <v>667.73</v>
      </c>
      <c r="R124" s="163"/>
      <c r="S124" s="148"/>
      <c r="T124" s="40" t="e">
        <f t="shared" si="28"/>
        <v>#DIV/0!</v>
      </c>
    </row>
    <row r="125" spans="1:20" s="77" customFormat="1" ht="25.4" customHeight="1">
      <c r="A125" s="3"/>
      <c r="B125" s="3"/>
      <c r="C125" s="3"/>
      <c r="D125" s="26" t="s">
        <v>644</v>
      </c>
      <c r="E125" s="61">
        <f t="shared" si="32"/>
        <v>0</v>
      </c>
      <c r="F125" s="61">
        <f t="shared" si="32"/>
        <v>0</v>
      </c>
      <c r="G125" s="61">
        <f t="shared" si="32"/>
        <v>0</v>
      </c>
      <c r="H125" s="61">
        <f t="shared" si="32"/>
        <v>0</v>
      </c>
      <c r="I125" s="61">
        <f t="shared" si="32"/>
        <v>0</v>
      </c>
      <c r="J125" s="61">
        <f t="shared" si="32"/>
        <v>0</v>
      </c>
      <c r="K125" s="61">
        <f t="shared" si="32"/>
        <v>0</v>
      </c>
      <c r="L125" s="61">
        <f t="shared" ref="L125:Q126" si="34">IF(L117=0,0,ROUND(L16/L117,2))</f>
        <v>0</v>
      </c>
      <c r="M125" s="61">
        <f t="shared" si="33"/>
        <v>0</v>
      </c>
      <c r="N125" s="61">
        <f t="shared" si="33"/>
        <v>0</v>
      </c>
      <c r="O125" s="61">
        <f t="shared" si="33"/>
        <v>0</v>
      </c>
      <c r="P125" s="61">
        <f t="shared" si="33"/>
        <v>0</v>
      </c>
      <c r="Q125" s="61">
        <f>IF(Q117=0,0,ROUND(Q16/Q117,2))</f>
        <v>0</v>
      </c>
      <c r="R125" s="163"/>
      <c r="S125" s="148"/>
      <c r="T125" s="40">
        <f>IF(S125&lt;&gt;0,(Q125-S125)/S125,1)</f>
        <v>1</v>
      </c>
    </row>
    <row r="126" spans="1:20" s="77" customFormat="1" ht="25.4" customHeight="1">
      <c r="A126" s="3"/>
      <c r="B126" s="3"/>
      <c r="C126" s="3"/>
      <c r="D126" s="19" t="s">
        <v>1091</v>
      </c>
      <c r="E126" s="161">
        <f>IF(E118=0,0,ROUND(E17/E118,2))</f>
        <v>503.46</v>
      </c>
      <c r="F126" s="161">
        <f t="shared" ref="F126:K126" si="35">IF(F118=0,0,ROUND(F17/F118,2))</f>
        <v>700</v>
      </c>
      <c r="G126" s="161">
        <f t="shared" si="35"/>
        <v>592.26</v>
      </c>
      <c r="H126" s="161">
        <f t="shared" si="35"/>
        <v>579.26</v>
      </c>
      <c r="I126" s="161">
        <f t="shared" si="35"/>
        <v>676.19</v>
      </c>
      <c r="J126" s="161">
        <f t="shared" si="35"/>
        <v>498.11</v>
      </c>
      <c r="K126" s="161">
        <f t="shared" si="35"/>
        <v>522.05999999999995</v>
      </c>
      <c r="L126" s="161">
        <f t="shared" si="34"/>
        <v>617.95000000000005</v>
      </c>
      <c r="M126" s="161">
        <f t="shared" si="34"/>
        <v>600</v>
      </c>
      <c r="N126" s="161">
        <f t="shared" si="34"/>
        <v>700.29</v>
      </c>
      <c r="O126" s="161">
        <f t="shared" si="34"/>
        <v>596.67999999999995</v>
      </c>
      <c r="P126" s="161">
        <f t="shared" si="34"/>
        <v>548</v>
      </c>
      <c r="Q126" s="161">
        <f t="shared" si="34"/>
        <v>590.01</v>
      </c>
      <c r="R126" s="164"/>
      <c r="S126" s="148"/>
      <c r="T126" s="40" t="e">
        <f t="shared" si="28"/>
        <v>#DIV/0!</v>
      </c>
    </row>
    <row r="127" spans="1:20" s="77" customFormat="1" ht="25.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S127" s="148"/>
      <c r="T127" s="40"/>
    </row>
    <row r="128" spans="1:20" s="77" customFormat="1" ht="25.4" customHeight="1">
      <c r="A128" s="3"/>
      <c r="B128" s="3"/>
      <c r="C128" s="3"/>
      <c r="D128" s="19" t="s">
        <v>1092</v>
      </c>
      <c r="E128" s="151">
        <f>IF(E118=0,0,ROUND((E35+E37+E109)/E118,2))</f>
        <v>444.19</v>
      </c>
      <c r="F128" s="151">
        <f t="shared" ref="F128:Q128" si="36">IF(F118=0,0,ROUND((F35+F37+F109)/F118,2))</f>
        <v>1823.11</v>
      </c>
      <c r="G128" s="151">
        <f t="shared" si="36"/>
        <v>450.9</v>
      </c>
      <c r="H128" s="151">
        <f t="shared" si="36"/>
        <v>509.06</v>
      </c>
      <c r="I128" s="151">
        <f t="shared" si="36"/>
        <v>548.23</v>
      </c>
      <c r="J128" s="151">
        <f t="shared" si="36"/>
        <v>423.75</v>
      </c>
      <c r="K128" s="151">
        <f t="shared" si="36"/>
        <v>444.55</v>
      </c>
      <c r="L128" s="151">
        <f t="shared" si="36"/>
        <v>564.73</v>
      </c>
      <c r="M128" s="151">
        <f t="shared" si="36"/>
        <v>839.37</v>
      </c>
      <c r="N128" s="151">
        <f t="shared" si="36"/>
        <v>486.88</v>
      </c>
      <c r="O128" s="151">
        <f t="shared" si="36"/>
        <v>435.26</v>
      </c>
      <c r="P128" s="151">
        <f t="shared" si="36"/>
        <v>431.97</v>
      </c>
      <c r="Q128" s="151">
        <f t="shared" si="36"/>
        <v>471.72</v>
      </c>
      <c r="R128" s="151"/>
      <c r="S128" s="148"/>
      <c r="T128" s="40" t="e">
        <f>-IF(Q128-S128=0,0,(Q128-S128)/S128)</f>
        <v>#DIV/0!</v>
      </c>
    </row>
    <row r="129" spans="1:20" s="77" customFormat="1" ht="25.4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S129" s="148"/>
      <c r="T129" s="40"/>
    </row>
    <row r="130" spans="1:20" s="77" customFormat="1" ht="25.4" customHeight="1">
      <c r="A130" s="3"/>
      <c r="B130" s="3"/>
      <c r="C130" s="3"/>
      <c r="D130" s="19" t="s">
        <v>1093</v>
      </c>
      <c r="E130" s="3"/>
      <c r="F130" s="3"/>
      <c r="G130" s="3"/>
      <c r="H130" s="3"/>
      <c r="I130" s="3"/>
      <c r="J130" s="3"/>
      <c r="K130" s="3"/>
      <c r="L130" s="3"/>
      <c r="S130" s="148"/>
      <c r="T130" s="40"/>
    </row>
    <row r="131" spans="1:20" s="77" customFormat="1" ht="25.4" customHeight="1">
      <c r="A131" s="3"/>
      <c r="B131" s="3"/>
      <c r="C131" s="3"/>
      <c r="D131" s="19" t="s">
        <v>1094</v>
      </c>
      <c r="E131" s="3"/>
      <c r="F131" s="3"/>
      <c r="G131" s="3"/>
      <c r="H131" s="3"/>
      <c r="I131" s="3"/>
      <c r="J131" s="3"/>
      <c r="K131" s="3"/>
      <c r="L131" s="3"/>
      <c r="S131" s="148"/>
      <c r="T131" s="40"/>
    </row>
    <row r="132" spans="1:20" s="77" customFormat="1" ht="25.4" customHeight="1">
      <c r="A132" s="3" t="s">
        <v>297</v>
      </c>
      <c r="B132" s="3" t="s">
        <v>645</v>
      </c>
      <c r="C132" s="3"/>
      <c r="D132" s="3" t="s">
        <v>1095</v>
      </c>
      <c r="E132" s="63">
        <v>27460.76</v>
      </c>
      <c r="F132" s="63">
        <v>10526.48</v>
      </c>
      <c r="G132" s="63">
        <v>32092.720000000001</v>
      </c>
      <c r="H132" s="63">
        <v>26597.57</v>
      </c>
      <c r="I132" s="63">
        <v>31933.87</v>
      </c>
      <c r="J132" s="63">
        <v>30074.86</v>
      </c>
      <c r="K132" s="63">
        <v>27880.45</v>
      </c>
      <c r="L132" s="63">
        <v>23648.17</v>
      </c>
      <c r="M132" s="63">
        <v>13691.21</v>
      </c>
      <c r="N132" s="63">
        <v>39784.910000000003</v>
      </c>
      <c r="O132" s="63">
        <v>37836.759999999995</v>
      </c>
      <c r="P132" s="63">
        <v>34972.740000000005</v>
      </c>
      <c r="Q132" s="134">
        <f>SUM(E132:P132)</f>
        <v>336500.5</v>
      </c>
      <c r="R132" s="134">
        <f>Q132/$Q$118</f>
        <v>19.328001148765079</v>
      </c>
      <c r="S132" s="148"/>
      <c r="T132" s="40" t="e">
        <f>-IF(Q132-S132=0,0,(Q132-S132)/S132)</f>
        <v>#DIV/0!</v>
      </c>
    </row>
    <row r="133" spans="1:20" s="77" customFormat="1" ht="25.4" customHeight="1">
      <c r="A133" s="3" t="s">
        <v>300</v>
      </c>
      <c r="B133" s="3" t="s">
        <v>645</v>
      </c>
      <c r="C133" s="3"/>
      <c r="D133" s="3" t="s">
        <v>1096</v>
      </c>
      <c r="E133" s="63">
        <v>79242.86</v>
      </c>
      <c r="F133" s="63">
        <v>4528.83</v>
      </c>
      <c r="G133" s="63">
        <v>99679.08</v>
      </c>
      <c r="H133" s="63">
        <v>75434.47</v>
      </c>
      <c r="I133" s="63">
        <v>117374.02</v>
      </c>
      <c r="J133" s="63">
        <v>107647.69</v>
      </c>
      <c r="K133" s="63">
        <v>96166.51</v>
      </c>
      <c r="L133" s="63">
        <v>74023.25</v>
      </c>
      <c r="M133" s="63">
        <v>22766.65</v>
      </c>
      <c r="N133" s="63">
        <v>164507.66</v>
      </c>
      <c r="O133" s="63">
        <v>153925.28</v>
      </c>
      <c r="P133" s="63">
        <v>140660.49</v>
      </c>
      <c r="Q133" s="134">
        <f t="shared" ref="Q133:Q134" si="37">SUM(E133:P133)</f>
        <v>1135956.79</v>
      </c>
      <c r="R133" s="134">
        <f>Q133/$Q$118</f>
        <v>65.247374497415279</v>
      </c>
      <c r="S133" s="148"/>
      <c r="T133" s="40" t="e">
        <f t="shared" ref="T133:T166" si="38">-IF(Q133-S133=0,0,(Q133-S133)/S133)</f>
        <v>#DIV/0!</v>
      </c>
    </row>
    <row r="134" spans="1:20" s="77" customFormat="1" ht="25.4" customHeight="1">
      <c r="A134" s="50" t="s">
        <v>300</v>
      </c>
      <c r="B134" s="3" t="s">
        <v>645</v>
      </c>
      <c r="C134" s="3"/>
      <c r="D134" s="3" t="s">
        <v>1097</v>
      </c>
      <c r="E134" s="61">
        <v>10000</v>
      </c>
      <c r="F134" s="61">
        <v>10000</v>
      </c>
      <c r="G134" s="61">
        <v>10000</v>
      </c>
      <c r="H134" s="61">
        <v>10000</v>
      </c>
      <c r="I134" s="61">
        <v>10000</v>
      </c>
      <c r="J134" s="61">
        <v>10000</v>
      </c>
      <c r="K134" s="61">
        <v>10000</v>
      </c>
      <c r="L134" s="61">
        <v>10000</v>
      </c>
      <c r="M134" s="61">
        <v>10000</v>
      </c>
      <c r="N134" s="61">
        <v>21500</v>
      </c>
      <c r="O134" s="61">
        <v>21500</v>
      </c>
      <c r="P134" s="61">
        <v>21500</v>
      </c>
      <c r="Q134" s="134">
        <f t="shared" si="37"/>
        <v>154500</v>
      </c>
      <c r="R134" s="134">
        <f>Q134/$Q$118</f>
        <v>8.8742102240091896</v>
      </c>
      <c r="S134" s="148"/>
      <c r="T134" s="40" t="e">
        <f t="shared" si="38"/>
        <v>#DIV/0!</v>
      </c>
    </row>
    <row r="135" spans="1:20" s="77" customFormat="1" ht="25.4" customHeight="1">
      <c r="A135" s="3"/>
      <c r="B135" s="3"/>
      <c r="C135" s="3"/>
      <c r="D135" s="19" t="s">
        <v>1098</v>
      </c>
      <c r="E135" s="161">
        <f>SUM(E132:E134)</f>
        <v>116703.62</v>
      </c>
      <c r="F135" s="161">
        <f t="shared" ref="F135:P135" si="39">SUM(F132:F134)</f>
        <v>25055.309999999998</v>
      </c>
      <c r="G135" s="161">
        <f t="shared" si="39"/>
        <v>141771.79999999999</v>
      </c>
      <c r="H135" s="161">
        <f t="shared" si="39"/>
        <v>112032.04000000001</v>
      </c>
      <c r="I135" s="161">
        <f t="shared" si="39"/>
        <v>159307.89000000001</v>
      </c>
      <c r="J135" s="161">
        <f t="shared" si="39"/>
        <v>147722.54999999999</v>
      </c>
      <c r="K135" s="161">
        <f t="shared" si="39"/>
        <v>134046.96</v>
      </c>
      <c r="L135" s="161">
        <f t="shared" si="39"/>
        <v>107671.42</v>
      </c>
      <c r="M135" s="161">
        <f t="shared" si="39"/>
        <v>46457.86</v>
      </c>
      <c r="N135" s="161">
        <f t="shared" si="39"/>
        <v>225792.57</v>
      </c>
      <c r="O135" s="161">
        <f t="shared" si="39"/>
        <v>213262.03999999998</v>
      </c>
      <c r="P135" s="161">
        <f t="shared" si="39"/>
        <v>197133.22999999998</v>
      </c>
      <c r="Q135" s="151">
        <f t="shared" ref="Q135" si="40">SUM(Q132:Q134)</f>
        <v>1626957.29</v>
      </c>
      <c r="R135" s="134">
        <f>Q135/$Q$118</f>
        <v>93.449585870189551</v>
      </c>
      <c r="S135" s="148"/>
      <c r="T135" s="40" t="e">
        <f t="shared" si="38"/>
        <v>#DIV/0!</v>
      </c>
    </row>
    <row r="136" spans="1:20" s="77" customFormat="1" ht="25.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S136" s="148"/>
      <c r="T136" s="40"/>
    </row>
    <row r="137" spans="1:20" s="77" customFormat="1" ht="25.4" customHeight="1">
      <c r="A137" s="3" t="s">
        <v>308</v>
      </c>
      <c r="B137" s="3" t="s">
        <v>645</v>
      </c>
      <c r="C137" s="3"/>
      <c r="D137" s="26" t="s">
        <v>1099</v>
      </c>
      <c r="E137" s="61">
        <v>24618.73</v>
      </c>
      <c r="F137" s="61">
        <v>0</v>
      </c>
      <c r="G137" s="61">
        <v>0</v>
      </c>
      <c r="H137" s="61">
        <v>7070.44</v>
      </c>
      <c r="I137" s="61">
        <v>17568.830000000002</v>
      </c>
      <c r="J137" s="61">
        <v>0</v>
      </c>
      <c r="K137" s="61">
        <v>0</v>
      </c>
      <c r="L137" s="61">
        <v>0</v>
      </c>
      <c r="M137" s="61">
        <v>0</v>
      </c>
      <c r="N137" s="61">
        <v>51312.479999999996</v>
      </c>
      <c r="O137" s="61">
        <v>0</v>
      </c>
      <c r="P137" s="61">
        <v>0</v>
      </c>
      <c r="Q137" s="134">
        <f>SUM(E137:P137)</f>
        <v>100570.48</v>
      </c>
      <c r="R137" s="134">
        <f t="shared" ref="R137:R144" si="41">Q137/$Q$118</f>
        <v>5.7765927627800115</v>
      </c>
      <c r="S137" s="148"/>
      <c r="T137" s="40" t="e">
        <f t="shared" si="38"/>
        <v>#DIV/0!</v>
      </c>
    </row>
    <row r="138" spans="1:20" s="77" customFormat="1" ht="25.4" customHeight="1">
      <c r="A138" s="3" t="s">
        <v>310</v>
      </c>
      <c r="B138" s="3" t="s">
        <v>645</v>
      </c>
      <c r="C138" s="3"/>
      <c r="D138" s="26" t="s">
        <v>1100</v>
      </c>
      <c r="E138" s="61">
        <v>1458.8</v>
      </c>
      <c r="F138" s="61">
        <v>313.19</v>
      </c>
      <c r="G138" s="61">
        <v>1772.15</v>
      </c>
      <c r="H138" s="61">
        <v>1400.4</v>
      </c>
      <c r="I138" s="61">
        <v>1991.35</v>
      </c>
      <c r="J138" s="61">
        <v>1846.53</v>
      </c>
      <c r="K138" s="61">
        <v>1675.59</v>
      </c>
      <c r="L138" s="61">
        <v>1345.89</v>
      </c>
      <c r="M138" s="61">
        <v>580.72</v>
      </c>
      <c r="N138" s="61">
        <v>2822.41</v>
      </c>
      <c r="O138" s="61">
        <v>2665.78</v>
      </c>
      <c r="P138" s="61">
        <v>2464.17</v>
      </c>
      <c r="Q138" s="134">
        <f t="shared" ref="Q138:Q143" si="42">SUM(E138:P138)</f>
        <v>20336.980000000003</v>
      </c>
      <c r="R138" s="134">
        <f t="shared" si="41"/>
        <v>1.168120620333142</v>
      </c>
      <c r="S138" s="148"/>
      <c r="T138" s="40" t="e">
        <f t="shared" si="38"/>
        <v>#DIV/0!</v>
      </c>
    </row>
    <row r="139" spans="1:20" s="77" customFormat="1" ht="25.4" customHeight="1">
      <c r="A139" s="3" t="s">
        <v>312</v>
      </c>
      <c r="B139" s="3" t="s">
        <v>645</v>
      </c>
      <c r="C139" s="3"/>
      <c r="D139" s="26" t="s">
        <v>1101</v>
      </c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134">
        <f t="shared" si="42"/>
        <v>0</v>
      </c>
      <c r="R139" s="134">
        <f t="shared" si="41"/>
        <v>0</v>
      </c>
      <c r="S139" s="148"/>
      <c r="T139" s="40"/>
    </row>
    <row r="140" spans="1:20" s="77" customFormat="1" ht="25.4" customHeight="1">
      <c r="A140" s="3" t="s">
        <v>314</v>
      </c>
      <c r="B140" s="3" t="s">
        <v>645</v>
      </c>
      <c r="C140" s="3"/>
      <c r="D140" s="26" t="s">
        <v>1102</v>
      </c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134">
        <f t="shared" ref="Q140:Q141" si="43">SUM(E140:P140)</f>
        <v>0</v>
      </c>
      <c r="R140" s="134">
        <f t="shared" ref="R140:R141" si="44">Q140/$Q$118</f>
        <v>0</v>
      </c>
      <c r="S140" s="148"/>
      <c r="T140" s="40">
        <f t="shared" ref="T140:T141" si="45">-IF(Q140-S140=0,0,(Q140-S140)/S140)</f>
        <v>0</v>
      </c>
    </row>
    <row r="141" spans="1:20" s="77" customFormat="1" ht="25.4" customHeight="1">
      <c r="A141" s="3" t="s">
        <v>316</v>
      </c>
      <c r="B141" s="3" t="s">
        <v>645</v>
      </c>
      <c r="C141" s="3"/>
      <c r="D141" s="26" t="s">
        <v>1103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si="43"/>
        <v>0</v>
      </c>
      <c r="R141" s="134">
        <f t="shared" si="44"/>
        <v>0</v>
      </c>
      <c r="S141" s="148"/>
      <c r="T141" s="40">
        <f t="shared" si="45"/>
        <v>0</v>
      </c>
    </row>
    <row r="142" spans="1:20" s="77" customFormat="1" ht="25.4" customHeight="1">
      <c r="A142" s="3" t="s">
        <v>1066</v>
      </c>
      <c r="B142" s="3" t="s">
        <v>645</v>
      </c>
      <c r="C142" s="3"/>
      <c r="D142" s="26" t="s">
        <v>1133</v>
      </c>
      <c r="E142" s="61">
        <v>32766.25</v>
      </c>
      <c r="F142" s="61">
        <v>6035.89</v>
      </c>
      <c r="G142" s="61">
        <v>38134.160000000003</v>
      </c>
      <c r="H142" s="61">
        <v>32134.92</v>
      </c>
      <c r="I142" s="61">
        <v>44043.16</v>
      </c>
      <c r="J142" s="61">
        <v>41920.269999999997</v>
      </c>
      <c r="K142" s="61">
        <v>35883.79</v>
      </c>
      <c r="L142" s="61">
        <v>26429.69</v>
      </c>
      <c r="M142" s="61">
        <v>11972.81</v>
      </c>
      <c r="N142" s="61">
        <v>37212.270000000004</v>
      </c>
      <c r="O142" s="61">
        <v>68797.34</v>
      </c>
      <c r="P142" s="61">
        <v>73741.08</v>
      </c>
      <c r="Q142" s="134">
        <f t="shared" si="42"/>
        <v>449071.63000000006</v>
      </c>
      <c r="R142" s="134">
        <f t="shared" si="41"/>
        <v>25.793890292935099</v>
      </c>
      <c r="S142" s="148"/>
      <c r="T142" s="40" t="e">
        <f t="shared" si="38"/>
        <v>#DIV/0!</v>
      </c>
    </row>
    <row r="143" spans="1:20" s="77" customFormat="1" ht="25.4" customHeight="1">
      <c r="A143" s="3" t="s">
        <v>1066</v>
      </c>
      <c r="B143" s="3" t="s">
        <v>645</v>
      </c>
      <c r="C143" s="3"/>
      <c r="D143" s="26" t="s">
        <v>1206</v>
      </c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134">
        <f t="shared" si="42"/>
        <v>0</v>
      </c>
      <c r="R143" s="134">
        <f t="shared" si="41"/>
        <v>0</v>
      </c>
      <c r="S143" s="148"/>
      <c r="T143" s="40">
        <f t="shared" si="38"/>
        <v>0</v>
      </c>
    </row>
    <row r="144" spans="1:20" s="77" customFormat="1" ht="25.4" customHeight="1">
      <c r="A144" s="3"/>
      <c r="B144" s="3"/>
      <c r="C144" s="3"/>
      <c r="D144" s="19" t="s">
        <v>1104</v>
      </c>
      <c r="E144" s="161">
        <f>SUM(E137:E143)</f>
        <v>58843.78</v>
      </c>
      <c r="F144" s="161">
        <f t="shared" ref="F144:P144" si="46">SUM(F137:F143)</f>
        <v>6349.08</v>
      </c>
      <c r="G144" s="161">
        <f t="shared" si="46"/>
        <v>39906.310000000005</v>
      </c>
      <c r="H144" s="161">
        <f t="shared" si="46"/>
        <v>40605.759999999995</v>
      </c>
      <c r="I144" s="161">
        <f t="shared" si="46"/>
        <v>63603.340000000004</v>
      </c>
      <c r="J144" s="161">
        <f t="shared" si="46"/>
        <v>43766.799999999996</v>
      </c>
      <c r="K144" s="161">
        <f t="shared" si="46"/>
        <v>37559.379999999997</v>
      </c>
      <c r="L144" s="161">
        <f t="shared" si="46"/>
        <v>27775.579999999998</v>
      </c>
      <c r="M144" s="161">
        <f t="shared" si="46"/>
        <v>12553.529999999999</v>
      </c>
      <c r="N144" s="161">
        <f t="shared" si="46"/>
        <v>91347.16</v>
      </c>
      <c r="O144" s="161">
        <f t="shared" si="46"/>
        <v>71463.12</v>
      </c>
      <c r="P144" s="161">
        <f t="shared" si="46"/>
        <v>76205.25</v>
      </c>
      <c r="Q144" s="151">
        <f t="shared" ref="Q144" si="47">SUM(Q137:Q143)</f>
        <v>569979.09000000008</v>
      </c>
      <c r="R144" s="134">
        <f t="shared" si="41"/>
        <v>32.73860367604825</v>
      </c>
      <c r="S144" s="148"/>
      <c r="T144" s="40" t="e">
        <f t="shared" si="38"/>
        <v>#DIV/0!</v>
      </c>
    </row>
    <row r="145" spans="1:20" s="77" customFormat="1" ht="25.4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S145" s="148"/>
      <c r="T145" s="40"/>
    </row>
    <row r="146" spans="1:20" s="77" customFormat="1" ht="25.4" customHeight="1">
      <c r="A146" s="3" t="s">
        <v>319</v>
      </c>
      <c r="B146" s="3" t="s">
        <v>645</v>
      </c>
      <c r="C146" s="3"/>
      <c r="D146" s="26" t="s">
        <v>1105</v>
      </c>
      <c r="E146" s="61">
        <v>16077.449999999999</v>
      </c>
      <c r="F146" s="61">
        <v>3683.1800000000003</v>
      </c>
      <c r="G146" s="61">
        <v>19467.600000000002</v>
      </c>
      <c r="H146" s="61">
        <v>15445.68</v>
      </c>
      <c r="I146" s="61">
        <v>22119.99</v>
      </c>
      <c r="J146" s="61">
        <v>20529.95</v>
      </c>
      <c r="K146" s="61">
        <v>18653.03</v>
      </c>
      <c r="L146" s="61">
        <v>15033.09</v>
      </c>
      <c r="M146" s="61">
        <v>6643.0300000000007</v>
      </c>
      <c r="N146" s="61">
        <v>31479.759999999998</v>
      </c>
      <c r="O146" s="61">
        <v>29754.75</v>
      </c>
      <c r="P146" s="61">
        <v>27566.19</v>
      </c>
      <c r="Q146" s="134">
        <f>SUM(E146:P146)</f>
        <v>226453.7</v>
      </c>
      <c r="R146" s="134">
        <f t="shared" ref="R146:R154" si="48">Q146/$Q$118</f>
        <v>13.007105112004595</v>
      </c>
      <c r="S146" s="148"/>
      <c r="T146" s="40" t="e">
        <f t="shared" si="38"/>
        <v>#DIV/0!</v>
      </c>
    </row>
    <row r="147" spans="1:20" s="77" customFormat="1" ht="25.4" customHeight="1">
      <c r="A147" s="3" t="s">
        <v>321</v>
      </c>
      <c r="B147" s="3" t="s">
        <v>645</v>
      </c>
      <c r="C147" s="3"/>
      <c r="D147" s="26" t="s">
        <v>1106</v>
      </c>
      <c r="E147" s="61">
        <v>6308.02</v>
      </c>
      <c r="F147" s="61">
        <v>1463.6399999999999</v>
      </c>
      <c r="G147" s="61">
        <v>7633.08</v>
      </c>
      <c r="H147" s="61">
        <v>6061.09</v>
      </c>
      <c r="I147" s="61">
        <v>8691.39</v>
      </c>
      <c r="J147" s="61">
        <v>8068.12</v>
      </c>
      <c r="K147" s="61">
        <v>7332.4</v>
      </c>
      <c r="L147" s="61">
        <v>5913.45</v>
      </c>
      <c r="M147" s="61">
        <v>2625.48</v>
      </c>
      <c r="N147" s="61">
        <v>12377.02</v>
      </c>
      <c r="O147" s="61">
        <v>11700.48</v>
      </c>
      <c r="P147" s="61">
        <v>10843.45</v>
      </c>
      <c r="Q147" s="134">
        <f t="shared" ref="Q147:Q153" si="49">SUM(E147:P147)</f>
        <v>89017.62</v>
      </c>
      <c r="R147" s="134">
        <f t="shared" si="48"/>
        <v>5.113016657093624</v>
      </c>
      <c r="S147" s="148"/>
      <c r="T147" s="40" t="e">
        <f t="shared" si="38"/>
        <v>#DIV/0!</v>
      </c>
    </row>
    <row r="148" spans="1:20" s="77" customFormat="1" ht="25.4" customHeight="1">
      <c r="A148" s="3" t="s">
        <v>323</v>
      </c>
      <c r="B148" s="3" t="s">
        <v>645</v>
      </c>
      <c r="C148" s="3"/>
      <c r="D148" s="26" t="s">
        <v>1107</v>
      </c>
      <c r="E148" s="61">
        <v>856.04</v>
      </c>
      <c r="F148" s="61">
        <v>196.01</v>
      </c>
      <c r="G148" s="61">
        <v>1036.5700000000002</v>
      </c>
      <c r="H148" s="61">
        <v>822.39</v>
      </c>
      <c r="I148" s="61">
        <v>1177.55</v>
      </c>
      <c r="J148" s="61">
        <v>1092.9000000000001</v>
      </c>
      <c r="K148" s="61">
        <v>992.97</v>
      </c>
      <c r="L148" s="61">
        <v>800.25</v>
      </c>
      <c r="M148" s="61">
        <v>353.56</v>
      </c>
      <c r="N148" s="61">
        <v>1675.51</v>
      </c>
      <c r="O148" s="61">
        <v>1583.68</v>
      </c>
      <c r="P148" s="61">
        <v>1467.02</v>
      </c>
      <c r="Q148" s="134">
        <f t="shared" si="49"/>
        <v>12054.45</v>
      </c>
      <c r="R148" s="134">
        <f t="shared" si="48"/>
        <v>0.69238655944859284</v>
      </c>
      <c r="S148" s="148"/>
      <c r="T148" s="40" t="e">
        <f t="shared" si="38"/>
        <v>#DIV/0!</v>
      </c>
    </row>
    <row r="149" spans="1:20" s="77" customFormat="1" ht="25.4" customHeight="1">
      <c r="A149" s="3" t="s">
        <v>325</v>
      </c>
      <c r="B149" s="3" t="s">
        <v>645</v>
      </c>
      <c r="C149" s="3"/>
      <c r="D149" s="26" t="s">
        <v>1108</v>
      </c>
      <c r="E149" s="61">
        <v>428.02</v>
      </c>
      <c r="F149" s="61">
        <v>98</v>
      </c>
      <c r="G149" s="61">
        <v>518.29</v>
      </c>
      <c r="H149" s="61">
        <v>411.2</v>
      </c>
      <c r="I149" s="61">
        <v>588.77</v>
      </c>
      <c r="J149" s="61">
        <v>546.45000000000005</v>
      </c>
      <c r="K149" s="61">
        <v>496.49</v>
      </c>
      <c r="L149" s="61">
        <v>400.13</v>
      </c>
      <c r="M149" s="61">
        <v>176.78</v>
      </c>
      <c r="N149" s="61">
        <v>837.75</v>
      </c>
      <c r="O149" s="61">
        <v>791.84</v>
      </c>
      <c r="P149" s="61">
        <v>733.51</v>
      </c>
      <c r="Q149" s="134">
        <f t="shared" si="49"/>
        <v>6027.2300000000014</v>
      </c>
      <c r="R149" s="134">
        <f t="shared" si="48"/>
        <v>0.34619356691556585</v>
      </c>
      <c r="S149" s="148"/>
      <c r="T149" s="40" t="e">
        <f t="shared" si="38"/>
        <v>#DIV/0!</v>
      </c>
    </row>
    <row r="150" spans="1:20" s="77" customFormat="1" ht="25.4" customHeight="1">
      <c r="A150" s="3" t="s">
        <v>327</v>
      </c>
      <c r="B150" s="3" t="s">
        <v>645</v>
      </c>
      <c r="C150" s="3"/>
      <c r="D150" s="26" t="s">
        <v>1109</v>
      </c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134">
        <f t="shared" si="49"/>
        <v>0</v>
      </c>
      <c r="R150" s="134">
        <f t="shared" si="48"/>
        <v>0</v>
      </c>
      <c r="S150" s="148"/>
      <c r="T150" s="40">
        <f t="shared" si="38"/>
        <v>0</v>
      </c>
    </row>
    <row r="151" spans="1:20" s="77" customFormat="1" ht="25.4" customHeight="1">
      <c r="A151" s="3" t="s">
        <v>329</v>
      </c>
      <c r="B151" s="3" t="s">
        <v>645</v>
      </c>
      <c r="C151" s="3"/>
      <c r="D151" s="26" t="s">
        <v>1110</v>
      </c>
      <c r="E151" s="61">
        <v>8560.380000000001</v>
      </c>
      <c r="F151" s="61">
        <v>1960.08</v>
      </c>
      <c r="G151" s="61">
        <v>10365.74</v>
      </c>
      <c r="H151" s="61">
        <v>8223.9500000000007</v>
      </c>
      <c r="I151" s="61">
        <v>11775.49</v>
      </c>
      <c r="J151" s="61">
        <v>10928.97</v>
      </c>
      <c r="K151" s="61">
        <v>9929.7199999999993</v>
      </c>
      <c r="L151" s="61">
        <v>8002.51</v>
      </c>
      <c r="M151" s="61">
        <v>3535.5699999999997</v>
      </c>
      <c r="N151" s="61">
        <v>16755.099999999999</v>
      </c>
      <c r="O151" s="61">
        <v>15836.81</v>
      </c>
      <c r="P151" s="61">
        <v>14670.24</v>
      </c>
      <c r="Q151" s="134">
        <f t="shared" si="49"/>
        <v>120544.56000000001</v>
      </c>
      <c r="R151" s="134">
        <f t="shared" si="48"/>
        <v>6.9238690407811614</v>
      </c>
      <c r="S151" s="148"/>
      <c r="T151" s="40" t="e">
        <f t="shared" si="38"/>
        <v>#DIV/0!</v>
      </c>
    </row>
    <row r="152" spans="1:20" s="77" customFormat="1" ht="25.4" customHeight="1">
      <c r="A152" s="3" t="s">
        <v>331</v>
      </c>
      <c r="B152" s="3" t="s">
        <v>403</v>
      </c>
      <c r="C152" s="3"/>
      <c r="D152" s="26" t="s">
        <v>1111</v>
      </c>
      <c r="E152" s="61">
        <v>2334.0699999999997</v>
      </c>
      <c r="F152" s="61">
        <v>501.11</v>
      </c>
      <c r="G152" s="61">
        <v>2835.44</v>
      </c>
      <c r="H152" s="61">
        <v>2240.6400000000003</v>
      </c>
      <c r="I152" s="61">
        <v>3186.16</v>
      </c>
      <c r="J152" s="61">
        <v>2954.45</v>
      </c>
      <c r="K152" s="61">
        <v>2680.94</v>
      </c>
      <c r="L152" s="61">
        <v>2153.4300000000003</v>
      </c>
      <c r="M152" s="61">
        <v>929.16</v>
      </c>
      <c r="N152" s="61">
        <v>4515.8500000000004</v>
      </c>
      <c r="O152" s="61">
        <v>4265.24</v>
      </c>
      <c r="P152" s="61">
        <v>3942.66</v>
      </c>
      <c r="Q152" s="134">
        <f t="shared" si="49"/>
        <v>32539.149999999998</v>
      </c>
      <c r="R152" s="134">
        <f t="shared" si="48"/>
        <v>1.868991958644457</v>
      </c>
      <c r="S152" s="148"/>
      <c r="T152" s="40" t="e">
        <f t="shared" si="38"/>
        <v>#DIV/0!</v>
      </c>
    </row>
    <row r="153" spans="1:20" s="77" customFormat="1" ht="25.4" customHeight="1">
      <c r="A153" s="3" t="s">
        <v>333</v>
      </c>
      <c r="B153" s="3" t="s">
        <v>403</v>
      </c>
      <c r="C153" s="3"/>
      <c r="D153" s="26" t="s">
        <v>1112</v>
      </c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134">
        <f t="shared" si="49"/>
        <v>0</v>
      </c>
      <c r="R153" s="134">
        <f t="shared" si="48"/>
        <v>0</v>
      </c>
      <c r="S153" s="148"/>
      <c r="T153" s="40">
        <f t="shared" si="38"/>
        <v>0</v>
      </c>
    </row>
    <row r="154" spans="1:20" s="77" customFormat="1" ht="25.4" customHeight="1">
      <c r="A154" s="3"/>
      <c r="B154" s="3"/>
      <c r="C154" s="3"/>
      <c r="D154" s="19" t="s">
        <v>1113</v>
      </c>
      <c r="E154" s="161">
        <f>SUM(E146:E153)</f>
        <v>34563.980000000003</v>
      </c>
      <c r="F154" s="161">
        <f t="shared" ref="F154:P154" si="50">SUM(F146:F153)</f>
        <v>7902.0199999999995</v>
      </c>
      <c r="G154" s="161">
        <f t="shared" si="50"/>
        <v>41856.720000000001</v>
      </c>
      <c r="H154" s="161">
        <f t="shared" si="50"/>
        <v>33204.950000000004</v>
      </c>
      <c r="I154" s="161">
        <f t="shared" si="50"/>
        <v>47539.350000000006</v>
      </c>
      <c r="J154" s="161">
        <f t="shared" si="50"/>
        <v>44120.84</v>
      </c>
      <c r="K154" s="161">
        <f t="shared" si="50"/>
        <v>40085.550000000003</v>
      </c>
      <c r="L154" s="161">
        <f t="shared" si="50"/>
        <v>32302.86</v>
      </c>
      <c r="M154" s="161">
        <f t="shared" si="50"/>
        <v>14263.58</v>
      </c>
      <c r="N154" s="161">
        <f t="shared" si="50"/>
        <v>67640.990000000005</v>
      </c>
      <c r="O154" s="161">
        <f t="shared" si="50"/>
        <v>63932.799999999988</v>
      </c>
      <c r="P154" s="161">
        <f t="shared" si="50"/>
        <v>59223.069999999992</v>
      </c>
      <c r="Q154" s="151">
        <f t="shared" ref="Q154" si="51">SUM(Q146:Q153)</f>
        <v>486636.71</v>
      </c>
      <c r="R154" s="134">
        <f t="shared" si="48"/>
        <v>27.951562894887996</v>
      </c>
      <c r="S154" s="148"/>
      <c r="T154" s="40" t="e">
        <f t="shared" si="38"/>
        <v>#DIV/0!</v>
      </c>
    </row>
    <row r="155" spans="1:20" s="77" customFormat="1" ht="25.4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S155" s="148"/>
      <c r="T155" s="40"/>
    </row>
    <row r="156" spans="1:20" s="77" customFormat="1" ht="25.4" hidden="1" customHeight="1">
      <c r="A156" s="3" t="s">
        <v>336</v>
      </c>
      <c r="B156" s="3" t="s">
        <v>403</v>
      </c>
      <c r="C156" s="3"/>
      <c r="D156" s="26" t="s">
        <v>1114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61">
        <v>0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134">
        <f>SUM(E156:P156)</f>
        <v>0</v>
      </c>
      <c r="R156" s="134"/>
      <c r="S156" s="148"/>
      <c r="T156" s="40">
        <f t="shared" si="38"/>
        <v>0</v>
      </c>
    </row>
    <row r="157" spans="1:20" s="77" customFormat="1" ht="25.4" hidden="1" customHeight="1">
      <c r="A157" s="3" t="s">
        <v>338</v>
      </c>
      <c r="B157" s="3" t="s">
        <v>403</v>
      </c>
      <c r="C157" s="3"/>
      <c r="D157" s="3" t="s">
        <v>1115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134">
        <f t="shared" ref="Q157:Q162" si="52">SUM(E157:P157)</f>
        <v>0</v>
      </c>
      <c r="R157" s="134"/>
      <c r="S157" s="148"/>
      <c r="T157" s="40">
        <f t="shared" si="38"/>
        <v>0</v>
      </c>
    </row>
    <row r="158" spans="1:20" s="77" customFormat="1" ht="25.4" hidden="1" customHeight="1">
      <c r="A158" s="3" t="s">
        <v>340</v>
      </c>
      <c r="B158" s="3" t="s">
        <v>403</v>
      </c>
      <c r="C158" s="3"/>
      <c r="D158" s="26" t="s">
        <v>1116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134">
        <f t="shared" si="52"/>
        <v>0</v>
      </c>
      <c r="R158" s="134"/>
      <c r="S158" s="148"/>
      <c r="T158" s="40">
        <f t="shared" si="38"/>
        <v>0</v>
      </c>
    </row>
    <row r="159" spans="1:20" s="77" customFormat="1" ht="25.4" hidden="1" customHeight="1">
      <c r="A159" s="3" t="s">
        <v>342</v>
      </c>
      <c r="B159" s="3" t="s">
        <v>403</v>
      </c>
      <c r="C159" s="3"/>
      <c r="D159" s="26" t="s">
        <v>1117</v>
      </c>
      <c r="E159" s="61">
        <v>0</v>
      </c>
      <c r="F159" s="61">
        <v>0</v>
      </c>
      <c r="G159" s="61">
        <v>0</v>
      </c>
      <c r="H159" s="61">
        <v>0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134">
        <f t="shared" si="52"/>
        <v>0</v>
      </c>
      <c r="R159" s="134"/>
      <c r="S159" s="148"/>
      <c r="T159" s="40">
        <f t="shared" si="38"/>
        <v>0</v>
      </c>
    </row>
    <row r="160" spans="1:20" s="77" customFormat="1" ht="25.4" customHeight="1">
      <c r="A160" s="3" t="s">
        <v>344</v>
      </c>
      <c r="B160" s="3" t="s">
        <v>645</v>
      </c>
      <c r="C160" s="3"/>
      <c r="D160" s="26" t="s">
        <v>1118</v>
      </c>
      <c r="E160" s="61">
        <v>1042.1199999999999</v>
      </c>
      <c r="F160" s="61">
        <v>305.69</v>
      </c>
      <c r="G160" s="61">
        <v>1264.45</v>
      </c>
      <c r="H160" s="61">
        <v>1000.68</v>
      </c>
      <c r="I160" s="61">
        <v>1445.27</v>
      </c>
      <c r="J160" s="61">
        <v>1340.42</v>
      </c>
      <c r="K160" s="61">
        <v>1216.6600000000001</v>
      </c>
      <c r="L160" s="61">
        <v>977.96</v>
      </c>
      <c r="M160" s="61">
        <v>426.44</v>
      </c>
      <c r="N160" s="61">
        <v>2080.75</v>
      </c>
      <c r="O160" s="61">
        <v>1966.2</v>
      </c>
      <c r="P160" s="61">
        <v>1828.36</v>
      </c>
      <c r="Q160" s="134">
        <f t="shared" si="52"/>
        <v>14895.000000000002</v>
      </c>
      <c r="R160" s="134">
        <f>Q160/$Q$118</f>
        <v>0.85554279149913848</v>
      </c>
      <c r="S160" s="148"/>
      <c r="T160" s="40" t="e">
        <f t="shared" si="38"/>
        <v>#DIV/0!</v>
      </c>
    </row>
    <row r="161" spans="1:20" s="77" customFormat="1" ht="25.4" customHeight="1">
      <c r="A161" s="3" t="s">
        <v>346</v>
      </c>
      <c r="B161" s="3" t="s">
        <v>645</v>
      </c>
      <c r="C161" s="3"/>
      <c r="D161" s="26" t="s">
        <v>1119</v>
      </c>
      <c r="E161" s="61">
        <v>6178.5300000000007</v>
      </c>
      <c r="F161" s="61">
        <v>1353.96</v>
      </c>
      <c r="G161" s="61">
        <v>7437.92</v>
      </c>
      <c r="H161" s="61">
        <v>5863.34</v>
      </c>
      <c r="I161" s="61">
        <v>8243.1</v>
      </c>
      <c r="J161" s="61">
        <v>7530.49</v>
      </c>
      <c r="K161" s="61">
        <v>6709.46</v>
      </c>
      <c r="L161" s="61">
        <v>5393.1100000000006</v>
      </c>
      <c r="M161" s="61">
        <v>2334.5600000000004</v>
      </c>
      <c r="N161" s="61">
        <v>11308.55</v>
      </c>
      <c r="O161" s="61">
        <v>10647.310000000001</v>
      </c>
      <c r="P161" s="61">
        <v>9865.25</v>
      </c>
      <c r="Q161" s="134">
        <f t="shared" si="52"/>
        <v>82865.579999999987</v>
      </c>
      <c r="R161" s="134">
        <f>Q161/$Q$118</f>
        <v>4.7596542217116591</v>
      </c>
      <c r="S161" s="148"/>
      <c r="T161" s="40" t="e">
        <f t="shared" si="38"/>
        <v>#DIV/0!</v>
      </c>
    </row>
    <row r="162" spans="1:20" s="77" customFormat="1" ht="25.4" customHeight="1">
      <c r="A162" s="3" t="s">
        <v>348</v>
      </c>
      <c r="B162" s="3" t="s">
        <v>645</v>
      </c>
      <c r="C162" s="3"/>
      <c r="D162" s="26" t="s">
        <v>1120</v>
      </c>
      <c r="E162" s="61">
        <v>18293.48</v>
      </c>
      <c r="F162" s="61">
        <v>3958.33</v>
      </c>
      <c r="G162" s="61">
        <v>21545.390000000003</v>
      </c>
      <c r="H162" s="61">
        <v>17128.03</v>
      </c>
      <c r="I162" s="61">
        <v>24236.460000000003</v>
      </c>
      <c r="J162" s="61">
        <v>22085.920000000002</v>
      </c>
      <c r="K162" s="61">
        <v>19884.84</v>
      </c>
      <c r="L162" s="61">
        <v>16012.74</v>
      </c>
      <c r="M162" s="61">
        <v>7010.7300000000014</v>
      </c>
      <c r="N162" s="61">
        <v>34461.08</v>
      </c>
      <c r="O162" s="61">
        <v>32166.399999999998</v>
      </c>
      <c r="P162" s="61">
        <v>29815.129999999997</v>
      </c>
      <c r="Q162" s="134">
        <f t="shared" si="52"/>
        <v>246598.53</v>
      </c>
      <c r="R162" s="134">
        <f>Q162/$Q$118</f>
        <v>14.164188971855255</v>
      </c>
      <c r="S162" s="148"/>
      <c r="T162" s="40" t="e">
        <f t="shared" si="38"/>
        <v>#DIV/0!</v>
      </c>
    </row>
    <row r="163" spans="1:20" s="77" customFormat="1" ht="25.4" customHeight="1">
      <c r="A163" s="3"/>
      <c r="B163" s="3"/>
      <c r="C163" s="3"/>
      <c r="D163" s="19" t="s">
        <v>1121</v>
      </c>
      <c r="E163" s="161">
        <f>SUM(E156:E162)</f>
        <v>25514.13</v>
      </c>
      <c r="F163" s="161">
        <f t="shared" ref="F163:P163" si="53">SUM(F156:F162)</f>
        <v>5617.98</v>
      </c>
      <c r="G163" s="161">
        <f t="shared" si="53"/>
        <v>30247.760000000002</v>
      </c>
      <c r="H163" s="161">
        <f t="shared" si="53"/>
        <v>23992.05</v>
      </c>
      <c r="I163" s="161">
        <f t="shared" si="53"/>
        <v>33924.83</v>
      </c>
      <c r="J163" s="161">
        <f t="shared" si="53"/>
        <v>30956.83</v>
      </c>
      <c r="K163" s="161">
        <f t="shared" si="53"/>
        <v>27810.959999999999</v>
      </c>
      <c r="L163" s="161">
        <f t="shared" si="53"/>
        <v>22383.81</v>
      </c>
      <c r="M163" s="161">
        <f t="shared" si="53"/>
        <v>9771.7300000000014</v>
      </c>
      <c r="N163" s="161">
        <f t="shared" si="53"/>
        <v>47850.380000000005</v>
      </c>
      <c r="O163" s="161">
        <f t="shared" si="53"/>
        <v>44779.91</v>
      </c>
      <c r="P163" s="161">
        <f t="shared" si="53"/>
        <v>41508.74</v>
      </c>
      <c r="Q163" s="151">
        <f t="shared" ref="Q163" si="54">SUM(Q156:Q162)</f>
        <v>344359.11</v>
      </c>
      <c r="R163" s="134">
        <f>Q163/$Q$118</f>
        <v>19.779385985066053</v>
      </c>
      <c r="S163" s="148"/>
      <c r="T163" s="40" t="e">
        <f t="shared" si="38"/>
        <v>#DIV/0!</v>
      </c>
    </row>
    <row r="164" spans="1:20" s="77" customFormat="1" ht="25.4" customHeight="1">
      <c r="A164" s="3"/>
      <c r="B164" s="3"/>
      <c r="C164" s="3"/>
      <c r="D164" s="19" t="s">
        <v>1122</v>
      </c>
      <c r="E164" s="161">
        <f>E135+E144+E154+E163</f>
        <v>235625.51</v>
      </c>
      <c r="F164" s="161">
        <f t="shared" ref="F164:P164" si="55">F135+F144+F154+F163</f>
        <v>44924.39</v>
      </c>
      <c r="G164" s="161">
        <f t="shared" si="55"/>
        <v>253782.59</v>
      </c>
      <c r="H164" s="161">
        <f t="shared" si="55"/>
        <v>209834.8</v>
      </c>
      <c r="I164" s="161">
        <f t="shared" si="55"/>
        <v>304375.41000000003</v>
      </c>
      <c r="J164" s="161">
        <f t="shared" si="55"/>
        <v>266567.01999999996</v>
      </c>
      <c r="K164" s="161">
        <f t="shared" si="55"/>
        <v>239502.85</v>
      </c>
      <c r="L164" s="161">
        <f t="shared" si="55"/>
        <v>190133.66999999998</v>
      </c>
      <c r="M164" s="161">
        <f t="shared" si="55"/>
        <v>83046.7</v>
      </c>
      <c r="N164" s="161">
        <f t="shared" si="55"/>
        <v>432631.1</v>
      </c>
      <c r="O164" s="161">
        <f t="shared" si="55"/>
        <v>393437.87</v>
      </c>
      <c r="P164" s="161">
        <f t="shared" si="55"/>
        <v>374070.29</v>
      </c>
      <c r="Q164" s="151">
        <f t="shared" ref="Q164" si="56">Q135+Q144+Q154+Q163</f>
        <v>3027932.1999999997</v>
      </c>
      <c r="R164" s="134">
        <f>Q164/$Q$118</f>
        <v>173.91913842619184</v>
      </c>
      <c r="S164" s="148"/>
      <c r="T164" s="40" t="e">
        <f t="shared" si="38"/>
        <v>#DIV/0!</v>
      </c>
    </row>
    <row r="165" spans="1:20" s="42" customFormat="1" ht="25.4" customHeight="1">
      <c r="E165" s="276"/>
      <c r="F165" s="276"/>
      <c r="G165" s="276"/>
      <c r="H165" s="276"/>
      <c r="I165" s="276"/>
      <c r="J165" s="276"/>
      <c r="K165" s="276"/>
      <c r="L165" s="276"/>
      <c r="M165" s="276"/>
      <c r="N165" s="276"/>
      <c r="O165" s="276"/>
      <c r="P165" s="276"/>
      <c r="Q165" s="42">
        <f>Q164-Q142-Q143</f>
        <v>2578860.5699999998</v>
      </c>
      <c r="S165" s="148"/>
      <c r="T165" s="40"/>
    </row>
    <row r="166" spans="1:20" s="77" customFormat="1" ht="25.4" customHeight="1">
      <c r="A166" s="3" t="s">
        <v>108</v>
      </c>
      <c r="B166" s="3" t="s">
        <v>645</v>
      </c>
      <c r="C166" s="3"/>
      <c r="D166" s="19" t="s">
        <v>1123</v>
      </c>
      <c r="E166" s="65">
        <v>22</v>
      </c>
      <c r="F166" s="65">
        <v>5</v>
      </c>
      <c r="G166" s="65">
        <v>27</v>
      </c>
      <c r="H166" s="65">
        <v>22</v>
      </c>
      <c r="I166" s="65">
        <v>31</v>
      </c>
      <c r="J166" s="65">
        <v>29</v>
      </c>
      <c r="K166" s="65">
        <v>26</v>
      </c>
      <c r="L166" s="65">
        <v>20</v>
      </c>
      <c r="M166" s="65">
        <v>9</v>
      </c>
      <c r="N166" s="65">
        <v>41</v>
      </c>
      <c r="O166" s="65">
        <v>44</v>
      </c>
      <c r="P166" s="65">
        <v>44</v>
      </c>
      <c r="Q166" s="65">
        <f>SUM(E166:P166)/12</f>
        <v>26.666666666666668</v>
      </c>
      <c r="R166" s="158"/>
      <c r="S166" s="148"/>
      <c r="T166" s="40" t="e">
        <f t="shared" si="38"/>
        <v>#DIV/0!</v>
      </c>
    </row>
    <row r="167" spans="1:20" ht="26.25" customHeight="1">
      <c r="E167" s="79"/>
    </row>
  </sheetData>
  <phoneticPr fontId="56" type="noConversion"/>
  <dataValidations count="50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458670.58_x000d__x000a_" sqref="E12:P12">
      <formula1>0</formula1>
      <formula2>300</formula2>
    </dataValidation>
    <dataValidation type="textLength" errorStyle="information" allowBlank="1" showInputMessage="1" showErrorMessage="1" error="XLBVal:6=44987.9_x000d__x000a_" sqref="E21:P21">
      <formula1>0</formula1>
      <formula2>300</formula2>
    </dataValidation>
    <dataValidation type="textLength" errorStyle="information" allowBlank="1" showInputMessage="1" showErrorMessage="1" error="XLBVal:6=1067901.23_x000d__x000a_" sqref="E37:P37">
      <formula1>0</formula1>
      <formula2>300</formula2>
    </dataValidation>
    <dataValidation type="textLength" errorStyle="information" allowBlank="1" showInputMessage="1" showErrorMessage="1" error="XLBVal:6=209604.31_x000d__x000a_" sqref="E28:P28">
      <formula1>0</formula1>
      <formula2>300</formula2>
    </dataValidation>
    <dataValidation type="textLength" errorStyle="information" allowBlank="1" showInputMessage="1" showErrorMessage="1" error="XLBVal:6=623590.56_x000d__x000a_" sqref="E14:P14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5=2443234.73_x000d__x000a_" sqref="E30:E31">
      <formula1>0</formula1>
      <formula2>300</formula2>
    </dataValidation>
    <dataValidation type="textLength" errorStyle="information" allowBlank="1" showInputMessage="1" showErrorMessage="1" error="XLBVal:5=1285238.57_x000d__x000a_" sqref="F17:R17 E25:R25 E35:R35 R37 E17:E19">
      <formula1>0</formula1>
      <formula2>300</formula2>
    </dataValidation>
    <dataValidation type="textLength" errorStyle="information" allowBlank="1" showInputMessage="1" showErrorMessage="1" error="XLBVal:6=3973_x000d__x000a_" sqref="E114:P114">
      <formula1>0</formula1>
      <formula2>300</formula2>
    </dataValidation>
    <dataValidation type="textLength" errorStyle="information" allowBlank="1" showInputMessage="1" showErrorMessage="1" error="XLBVal:6=7235.47_x000d__x000a_" sqref="E20:P20">
      <formula1>0</formula1>
      <formula2>300</formula2>
    </dataValidation>
    <dataValidation type="textLength" errorStyle="information" allowBlank="1" showInputMessage="1" showErrorMessage="1" error="XLBVal:6=2660698_x000d__x000a_" sqref="Q146:Q153">
      <formula1>0</formula1>
      <formula2>300</formula2>
    </dataValidation>
    <dataValidation type="textLength" errorStyle="information" allowBlank="1" showInputMessage="1" showErrorMessage="1" error="XLBVal:6=24659.36_x000d__x000a_" sqref="E22:P22">
      <formula1>0</formula1>
      <formula2>300</formula2>
    </dataValidation>
    <dataValidation type="textLength" errorStyle="information" allowBlank="1" showInputMessage="1" showErrorMessage="1" error="XLBVal:6=135079.02_x000d__x000a_" sqref="E26:P26">
      <formula1>0</formula1>
      <formula2>300</formula2>
    </dataValidation>
    <dataValidation type="textLength" errorStyle="information" allowBlank="1" showInputMessage="1" showErrorMessage="1" error="XLBVal:6=530000_x000d__x000a_" sqref="Q26">
      <formula1>0</formula1>
      <formula2>300</formula2>
    </dataValidation>
    <dataValidation type="textLength" errorStyle="information" allowBlank="1" showInputMessage="1" showErrorMessage="1" error="XLBVal:6=21065.12_x000d__x000a_" sqref="E33:P33">
      <formula1>0</formula1>
      <formula2>300</formula2>
    </dataValidation>
    <dataValidation type="textLength" errorStyle="information" allowBlank="1" showInputMessage="1" showErrorMessage="1" error="XLBVal:6=38233.14_x000d__x000a_" sqref="E27:P27">
      <formula1>0</formula1>
      <formula2>300</formula2>
    </dataValidation>
    <dataValidation type="textLength" errorStyle="information" allowBlank="1" showInputMessage="1" showErrorMessage="1" error="XLBVal:6=603500_x000d__x000a_" sqref="Q27">
      <formula1>0</formula1>
      <formula2>300</formula2>
    </dataValidation>
    <dataValidation type="textLength" errorStyle="information" allowBlank="1" showInputMessage="1" showErrorMessage="1" error="XLBVal:6=2215012_x000d__x000a_" sqref="Q28">
      <formula1>0</formula1>
      <formula2>300</formula2>
    </dataValidation>
    <dataValidation type="textLength" errorStyle="information" allowBlank="1" showInputMessage="1" showErrorMessage="1" error="XLBVal:6=202115.08_x000d__x000a_" sqref="E29:R29">
      <formula1>0</formula1>
      <formula2>300</formula2>
    </dataValidation>
    <dataValidation type="textLength" errorStyle="information" allowBlank="1" showInputMessage="1" showErrorMessage="1" error="XLBVal:6=694785.13_x000d__x000a_" sqref="E32:P32">
      <formula1>0</formula1>
      <formula2>300</formula2>
    </dataValidation>
    <dataValidation type="textLength" errorStyle="information" allowBlank="1" showInputMessage="1" showErrorMessage="1" error="XLBVal:6=4423_x000d__x000a_" sqref="E113:P113">
      <formula1>0</formula1>
      <formula2>300</formula2>
    </dataValidation>
    <dataValidation type="textLength" errorStyle="information" allowBlank="1" showInputMessage="1" showErrorMessage="1" error="XLBVal:2=0_x000d__x000a_" sqref="E34:P34 E36:L36 E109:R109 F118:R118 F38:F39 R166 R32:R34 Q133:Q134 Q156:Q162 R26:R28 E137:P137 R133:R135 R146:R154 R156:R164 E15:P16 E23:P24 Q113:R117 Q132:R132 R137:R144 Q20:R24 E153:P153 Q12:R16 E134:P134 F116:P117 R40:R108 E116:E118 E156:P161 E139:P143">
      <formula1>0</formula1>
      <formula2>300</formula2>
    </dataValidation>
    <dataValidation type="textLength" errorStyle="information" allowBlank="1" showInputMessage="1" showErrorMessage="1" error="XLBVal:6=30983026_x000d__x000a_" sqref="Q37">
      <formula1>0</formula1>
      <formula2>300</formula2>
    </dataValidation>
    <dataValidation type="textLength" errorStyle="information" allowBlank="1" showInputMessage="1" showErrorMessage="1" error="XLBVal:6=0_x000d__x000a_" sqref="E110:R110">
      <formula1>0</formula1>
      <formula2>300</formula2>
    </dataValidation>
    <dataValidation type="textLength" errorStyle="information" allowBlank="1" showInputMessage="1" showErrorMessage="1" error="XLBVal:6=3239.86_x000d__x000a_" sqref="E111:R111">
      <formula1>0</formula1>
      <formula2>300</formula2>
    </dataValidation>
    <dataValidation type="textLength" errorStyle="information" allowBlank="1" showInputMessage="1" showErrorMessage="1" error="XLBVal:6=699_x000d__x000a_" sqref="E115:P115">
      <formula1>0</formula1>
      <formula2>300</formula2>
    </dataValidation>
    <dataValidation type="textLength" errorStyle="information" allowBlank="1" showInputMessage="1" showErrorMessage="1" sqref="E119:L119 H127:L127 H128:R128 F121:R126 E121:E131 F127:G131 H129:L131 E165:P166">
      <formula1>0</formula1>
      <formula2>300</formula2>
    </dataValidation>
    <dataValidation type="textLength" errorStyle="information" allowBlank="1" showInputMessage="1" showErrorMessage="1" error="XLBVal:6=3678_x000d__x000a_" sqref="E155:P155">
      <formula1>0</formula1>
      <formula2>300</formula2>
    </dataValidation>
    <dataValidation type="textLength" errorStyle="information" allowBlank="1" showInputMessage="1" showErrorMessage="1" error="XLBVal:6=132_x000d__x000a_" sqref="Q166">
      <formula1>0</formula1>
      <formula2>300</formula2>
    </dataValidation>
    <dataValidation type="textLength" errorStyle="information" allowBlank="1" showInputMessage="1" showErrorMessage="1" error="XLBVal:6=6688509.16_x000d__x000a_" sqref="E38:E39">
      <formula1>0</formula1>
      <formula2>300</formula2>
    </dataValidation>
    <dataValidation type="textLength" errorStyle="information" allowBlank="1" showInputMessage="1" showErrorMessage="1" error="XLBVal:5=0_x000d__x000a_" sqref="F18:F19 F30:F31">
      <formula1>0</formula1>
      <formula2>300</formula2>
    </dataValidation>
    <dataValidation type="textLength" errorStyle="information" allowBlank="1" showInputMessage="1" showErrorMessage="1" error="XLBVal:6=25196619_x000d__x000a_" sqref="Q32:Q34">
      <formula1>0</formula1>
      <formula2>300</formula2>
    </dataValidation>
    <dataValidation type="textLength" errorStyle="information" allowBlank="1" showInputMessage="1" showErrorMessage="1" error="XLBVal:6=995082_x000d__x000a_" sqref="Q137:Q143">
      <formula1>0</formula1>
      <formula2>300</formula2>
    </dataValidation>
    <dataValidation type="textLength" errorStyle="information" allowBlank="1" showInputMessage="1" showErrorMessage="1" error="XLBVal:5=1616616_x000d__x000a_" sqref="G18:L19">
      <formula1>0</formula1>
      <formula2>300</formula2>
    </dataValidation>
    <dataValidation type="textLength" errorStyle="information" allowBlank="1" showInputMessage="1" showErrorMessage="1" error="XLBVal:5=3384188.86_x000d__x000a_" sqref="G30:L31">
      <formula1>0</formula1>
      <formula2>300</formula2>
    </dataValidation>
    <dataValidation type="textLength" errorStyle="information" allowBlank="1" showInputMessage="1" showErrorMessage="1" error="XLBVal:6=6595485.04_x000d__x000a_" sqref="G38:L39">
      <formula1>0</formula1>
      <formula2>300</formula2>
    </dataValidation>
    <dataValidation type="textLength" errorStyle="information" allowBlank="1" showInputMessage="1" showErrorMessage="1" error="XLBVal:6=324_x000d__x000a_" sqref="E152:P152">
      <formula1>0</formula1>
      <formula2>300</formula2>
    </dataValidation>
    <dataValidation type="textLength" errorStyle="information" allowBlank="1" showInputMessage="1" showErrorMessage="1" error="XLBVal:6=143.66_x000d__x000a_" sqref="E150:P150">
      <formula1>0</formula1>
      <formula2>300</formula2>
    </dataValidation>
    <dataValidation type="textLength" errorStyle="information" allowBlank="1" showInputMessage="1" showErrorMessage="1" error="XLBVal:6=1875_x000d__x000a_" sqref="E162:P162">
      <formula1>0</formula1>
      <formula2>300</formula2>
    </dataValidation>
    <dataValidation type="textLength" errorStyle="information" allowBlank="1" showInputMessage="1" showErrorMessage="1" error="XLBVal:6=1752_x000d__x000a_" sqref="E151:P151">
      <formula1>0</formula1>
      <formula2>300</formula2>
    </dataValidation>
    <dataValidation type="textLength" errorStyle="information" allowBlank="1" showInputMessage="1" showErrorMessage="1" error="XLBVal:6=72.82_x000d__x000a_" sqref="E149:P149">
      <formula1>0</formula1>
      <formula2>300</formula2>
    </dataValidation>
    <dataValidation type="textLength" errorStyle="information" allowBlank="1" showInputMessage="1" showErrorMessage="1" error="XLBVal:6=91.02_x000d__x000a_" sqref="E148:P148">
      <formula1>0</formula1>
      <formula2>300</formula2>
    </dataValidation>
    <dataValidation type="textLength" errorStyle="information" allowBlank="1" showInputMessage="1" showErrorMessage="1" error="XLBVal:6=1436.64_x000d__x000a_" sqref="E147:P147">
      <formula1>0</formula1>
      <formula2>300</formula2>
    </dataValidation>
    <dataValidation type="textLength" errorStyle="information" allowBlank="1" showInputMessage="1" showErrorMessage="1" error="XLBVal:6=2912.32_x000d__x000a_" sqref="E146:P146">
      <formula1>0</formula1>
      <formula2>300</formula2>
    </dataValidation>
    <dataValidation type="textLength" errorStyle="information" allowBlank="1" showInputMessage="1" showErrorMessage="1" error="XLBVal:6=8200_x000d__x000a_" sqref="E133:P133">
      <formula1>0</formula1>
      <formula2>300</formula2>
    </dataValidation>
    <dataValidation type="textLength" errorStyle="information" allowBlank="1" showInputMessage="1" showErrorMessage="1" error="XLBVal:6=8000_x000d__x000a_" sqref="E132:P132">
      <formula1>0</formula1>
      <formula2>300</formula2>
    </dataValidation>
    <dataValidation type="textLength" errorStyle="information" allowBlank="1" showInputMessage="1" showErrorMessage="1" error="XLBVal:6=3_x000d__x000a_" sqref="E167">
      <formula1>0</formula1>
      <formula2>300</formula2>
    </dataValidation>
    <dataValidation type="textLength" errorStyle="information" allowBlank="1" showInputMessage="1" showErrorMessage="1" error="XLBVal:6=1350.01_x000d__x000a_" sqref="E138:P138">
      <formula1>0</formula1>
      <formula2>300</formula2>
    </dataValidation>
    <dataValidation type="textLength" allowBlank="1" showErrorMessage="1" sqref="E40:Q108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8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U277"/>
  <sheetViews>
    <sheetView topLeftCell="D1" zoomScale="50" zoomScaleNormal="50" zoomScaleSheetLayoutView="40" workbookViewId="0">
      <pane xSplit="1" ySplit="11" topLeftCell="E51" activePane="bottomRight" state="frozen"/>
      <selection activeCell="E39" sqref="E39:P108"/>
      <selection pane="topRight" activeCell="E39" sqref="E39:P108"/>
      <selection pane="bottomLeft" activeCell="E39" sqref="E39:P108"/>
      <selection pane="bottomRight" activeCell="E39" sqref="E39:P108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88.08984375" style="6" customWidth="1" collapsed="1"/>
    <col min="5" max="5" width="27" style="7" customWidth="1"/>
    <col min="6" max="6" width="26.08984375" style="7" customWidth="1"/>
    <col min="7" max="7" width="30.08984375" style="7" customWidth="1"/>
    <col min="8" max="8" width="28.453125" style="7" customWidth="1"/>
    <col min="9" max="9" width="22.453125" style="7" customWidth="1"/>
    <col min="10" max="12" width="22.453125" style="5" customWidth="1"/>
    <col min="13" max="16" width="20.90625" style="5" customWidth="1"/>
    <col min="17" max="17" width="24.6328125" style="5" customWidth="1"/>
    <col min="18" max="18" width="28.08984375" style="5" hidden="1" customWidth="1"/>
    <col min="19" max="19" width="11.08984375" style="5" customWidth="1"/>
    <col min="20" max="20" width="22.453125" style="8" hidden="1" customWidth="1"/>
    <col min="21" max="21" width="22.453125" style="5" hidden="1" customWidth="1"/>
    <col min="22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T3" s="32"/>
    </row>
    <row r="4" spans="1:21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T4" s="33"/>
    </row>
    <row r="5" spans="1:21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465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R9" s="18">
        <v>2018</v>
      </c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T10" s="36" t="s">
        <v>23</v>
      </c>
      <c r="U10" s="37" t="s">
        <v>24</v>
      </c>
    </row>
    <row r="11" spans="1:21" s="3" customFormat="1" ht="24.75" hidden="1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467</v>
      </c>
      <c r="D12" s="21" t="s">
        <v>139</v>
      </c>
      <c r="E12" s="43">
        <f>+E123</f>
        <v>0</v>
      </c>
      <c r="F12" s="43">
        <f t="shared" ref="F12:P12" si="0">+F123</f>
        <v>0</v>
      </c>
      <c r="G12" s="43">
        <f t="shared" si="0"/>
        <v>0</v>
      </c>
      <c r="H12" s="43">
        <f t="shared" si="0"/>
        <v>0</v>
      </c>
      <c r="I12" s="43">
        <f t="shared" si="0"/>
        <v>0</v>
      </c>
      <c r="J12" s="43">
        <f t="shared" si="0"/>
        <v>0</v>
      </c>
      <c r="K12" s="43">
        <f t="shared" si="0"/>
        <v>0</v>
      </c>
      <c r="L12" s="43">
        <f t="shared" si="0"/>
        <v>0</v>
      </c>
      <c r="M12" s="43">
        <f t="shared" si="0"/>
        <v>0</v>
      </c>
      <c r="N12" s="43">
        <f t="shared" si="0"/>
        <v>0</v>
      </c>
      <c r="O12" s="43">
        <f t="shared" si="0"/>
        <v>0</v>
      </c>
      <c r="P12" s="43">
        <f t="shared" si="0"/>
        <v>0</v>
      </c>
      <c r="Q12" s="43">
        <f>SUM(E12:P12)</f>
        <v>0</v>
      </c>
      <c r="R12" s="43">
        <v>8988613.5600000005</v>
      </c>
      <c r="S12" s="39">
        <f>Q12/'F&amp;B Summary'!$Q$50</f>
        <v>0</v>
      </c>
      <c r="T12" s="35"/>
      <c r="U12" s="40">
        <f>-IF(Q12-T12=0,0,(Q12-T12)/T12)</f>
        <v>0</v>
      </c>
    </row>
    <row r="13" spans="1:21" s="3" customFormat="1" ht="25.4" customHeight="1">
      <c r="D13" s="26"/>
      <c r="E13" s="24"/>
      <c r="F13" s="24"/>
      <c r="G13" s="24"/>
      <c r="H13" s="25"/>
      <c r="I13" s="25"/>
      <c r="T13" s="35"/>
      <c r="U13" s="40">
        <f t="shared" ref="U13:U76" si="1">-IF(Q13-T13=0,0,(Q13-T13)/T13)</f>
        <v>0</v>
      </c>
    </row>
    <row r="14" spans="1:21" s="3" customFormat="1" ht="25.4" customHeight="1">
      <c r="D14" s="21" t="s">
        <v>140</v>
      </c>
      <c r="E14" s="24"/>
      <c r="F14" s="24"/>
      <c r="G14" s="24"/>
      <c r="H14" s="25"/>
      <c r="I14" s="25"/>
      <c r="S14" s="34" t="s">
        <v>421</v>
      </c>
      <c r="T14" s="35"/>
      <c r="U14" s="40">
        <f t="shared" si="1"/>
        <v>0</v>
      </c>
    </row>
    <row r="15" spans="1:21" s="3" customFormat="1" ht="25.4" customHeight="1">
      <c r="A15" s="3" t="s">
        <v>468</v>
      </c>
      <c r="B15" s="3" t="s">
        <v>467</v>
      </c>
      <c r="D15" s="26" t="s">
        <v>469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3">
        <f>SUM(E15:P15)</f>
        <v>0</v>
      </c>
      <c r="R15" s="3">
        <v>0</v>
      </c>
      <c r="S15" s="3">
        <f>Q15/'F&amp;B Summary'!$Q$148</f>
        <v>0</v>
      </c>
      <c r="T15" s="35"/>
      <c r="U15" s="40">
        <f t="shared" si="1"/>
        <v>0</v>
      </c>
    </row>
    <row r="16" spans="1:21" s="3" customFormat="1" ht="25.4" customHeight="1">
      <c r="A16" s="3" t="s">
        <v>470</v>
      </c>
      <c r="B16" s="3" t="s">
        <v>467</v>
      </c>
      <c r="D16" s="28" t="s">
        <v>471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3">
        <f t="shared" ref="Q16:Q79" si="2">SUM(E16:P16)</f>
        <v>0</v>
      </c>
      <c r="R16" s="3">
        <v>0</v>
      </c>
      <c r="S16" s="3">
        <f>Q16/'F&amp;B Summary'!$Q$148</f>
        <v>0</v>
      </c>
      <c r="T16" s="35"/>
      <c r="U16" s="40">
        <f t="shared" si="1"/>
        <v>0</v>
      </c>
    </row>
    <row r="17" spans="1:21" s="3" customFormat="1" ht="25.4" customHeight="1">
      <c r="A17" s="3" t="s">
        <v>472</v>
      </c>
      <c r="B17" s="3" t="s">
        <v>467</v>
      </c>
      <c r="D17" s="26" t="s">
        <v>473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3">
        <f t="shared" si="2"/>
        <v>0</v>
      </c>
      <c r="R17" s="3">
        <v>0</v>
      </c>
      <c r="S17" s="3">
        <f>Q17/'F&amp;B Summary'!$Q$148</f>
        <v>0</v>
      </c>
      <c r="T17" s="35"/>
      <c r="U17" s="40">
        <f t="shared" si="1"/>
        <v>0</v>
      </c>
    </row>
    <row r="18" spans="1:21" s="3" customFormat="1" ht="25.4" customHeight="1">
      <c r="A18" s="3" t="s">
        <v>474</v>
      </c>
      <c r="B18" s="3" t="s">
        <v>467</v>
      </c>
      <c r="D18" s="26" t="s">
        <v>475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3">
        <f t="shared" si="2"/>
        <v>0</v>
      </c>
      <c r="R18" s="3">
        <v>0</v>
      </c>
      <c r="S18" s="3">
        <f>Q18/'F&amp;B Summary'!$Q$148</f>
        <v>0</v>
      </c>
      <c r="T18" s="35"/>
      <c r="U18" s="40">
        <f t="shared" si="1"/>
        <v>0</v>
      </c>
    </row>
    <row r="19" spans="1:21" s="3" customFormat="1" ht="25.4" customHeight="1">
      <c r="A19" s="3" t="s">
        <v>476</v>
      </c>
      <c r="B19" s="3" t="s">
        <v>467</v>
      </c>
      <c r="D19" s="29" t="s">
        <v>477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">
        <f t="shared" si="2"/>
        <v>0</v>
      </c>
      <c r="R19" s="3">
        <v>0</v>
      </c>
      <c r="S19" s="3">
        <f>Q19/'F&amp;B Summary'!$Q$148</f>
        <v>0</v>
      </c>
      <c r="T19" s="35"/>
      <c r="U19" s="40">
        <f t="shared" si="1"/>
        <v>0</v>
      </c>
    </row>
    <row r="20" spans="1:21" s="3" customFormat="1" ht="25.4" customHeight="1">
      <c r="A20" s="3" t="s">
        <v>478</v>
      </c>
      <c r="B20" s="3" t="s">
        <v>467</v>
      </c>
      <c r="D20" s="29" t="s">
        <v>479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3">
        <f t="shared" si="2"/>
        <v>0</v>
      </c>
      <c r="R20" s="3">
        <v>0</v>
      </c>
      <c r="S20" s="3">
        <f>Q20/'F&amp;B Summary'!$Q$148</f>
        <v>0</v>
      </c>
      <c r="T20" s="35"/>
      <c r="U20" s="40">
        <f t="shared" si="1"/>
        <v>0</v>
      </c>
    </row>
    <row r="21" spans="1:21" s="3" customFormat="1" ht="25.4" customHeight="1">
      <c r="A21" s="3" t="s">
        <v>480</v>
      </c>
      <c r="B21" s="3" t="s">
        <v>467</v>
      </c>
      <c r="D21" s="26" t="s">
        <v>481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3">
        <f t="shared" si="2"/>
        <v>0</v>
      </c>
      <c r="R21" s="3">
        <v>0</v>
      </c>
      <c r="S21" s="3">
        <f>Q21/'F&amp;B Summary'!$Q$148</f>
        <v>0</v>
      </c>
      <c r="T21" s="35"/>
      <c r="U21" s="40">
        <f t="shared" si="1"/>
        <v>0</v>
      </c>
    </row>
    <row r="22" spans="1:21" s="3" customFormat="1" ht="24.75" customHeight="1">
      <c r="A22" s="3" t="s">
        <v>482</v>
      </c>
      <c r="B22" s="3" t="s">
        <v>467</v>
      </c>
      <c r="D22" s="29" t="s">
        <v>483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">
        <f t="shared" si="2"/>
        <v>0</v>
      </c>
      <c r="R22" s="3">
        <v>0</v>
      </c>
      <c r="S22" s="3">
        <f>Q22/'F&amp;B Summary'!$Q$148</f>
        <v>0</v>
      </c>
      <c r="T22" s="35"/>
      <c r="U22" s="40">
        <f t="shared" si="1"/>
        <v>0</v>
      </c>
    </row>
    <row r="23" spans="1:21" s="3" customFormat="1" ht="25.4" customHeight="1">
      <c r="A23" s="3" t="s">
        <v>484</v>
      </c>
      <c r="B23" s="3" t="s">
        <v>467</v>
      </c>
      <c r="D23" s="26" t="s">
        <v>485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">
        <f t="shared" si="2"/>
        <v>0</v>
      </c>
      <c r="R23" s="3">
        <v>719109.44</v>
      </c>
      <c r="S23" s="3">
        <f>Q23/'F&amp;B Summary'!$Q$148</f>
        <v>0</v>
      </c>
      <c r="T23" s="35"/>
      <c r="U23" s="40">
        <f t="shared" si="1"/>
        <v>0</v>
      </c>
    </row>
    <row r="24" spans="1:21" s="3" customFormat="1" ht="25.4" customHeight="1">
      <c r="A24" s="3" t="s">
        <v>486</v>
      </c>
      <c r="B24" s="3" t="s">
        <v>467</v>
      </c>
      <c r="D24" s="26" t="s">
        <v>487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">
        <f t="shared" si="2"/>
        <v>0</v>
      </c>
      <c r="R24" s="3">
        <v>0</v>
      </c>
      <c r="S24" s="3">
        <f>Q24/'F&amp;B Summary'!$Q$148</f>
        <v>0</v>
      </c>
      <c r="T24" s="35"/>
      <c r="U24" s="40">
        <f t="shared" si="1"/>
        <v>0</v>
      </c>
    </row>
    <row r="25" spans="1:21" s="3" customFormat="1" ht="25.4" customHeight="1">
      <c r="A25" s="3" t="s">
        <v>488</v>
      </c>
      <c r="B25" s="3" t="s">
        <v>467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">
        <f t="shared" si="2"/>
        <v>0</v>
      </c>
      <c r="R25" s="3">
        <v>2000</v>
      </c>
      <c r="S25" s="3">
        <f>Q25/'F&amp;B Summary'!$Q$148</f>
        <v>0</v>
      </c>
      <c r="T25" s="35"/>
      <c r="U25" s="40">
        <f t="shared" si="1"/>
        <v>0</v>
      </c>
    </row>
    <row r="26" spans="1:21" s="3" customFormat="1" ht="25.4" customHeight="1">
      <c r="A26" s="3" t="s">
        <v>490</v>
      </c>
      <c r="B26" s="3" t="s">
        <v>467</v>
      </c>
      <c r="D26" s="26" t="s">
        <v>491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">
        <f t="shared" si="2"/>
        <v>0</v>
      </c>
      <c r="R26" s="3">
        <v>154046.97</v>
      </c>
      <c r="S26" s="3">
        <f>Q26/'F&amp;B Summary'!$Q$148</f>
        <v>0</v>
      </c>
      <c r="T26" s="35"/>
      <c r="U26" s="40">
        <f t="shared" si="1"/>
        <v>0</v>
      </c>
    </row>
    <row r="27" spans="1:21" s="3" customFormat="1" ht="25.4" customHeight="1">
      <c r="A27" s="3" t="s">
        <v>492</v>
      </c>
      <c r="B27" s="3" t="s">
        <v>467</v>
      </c>
      <c r="D27" s="26" t="s">
        <v>493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>
        <f t="shared" si="2"/>
        <v>0</v>
      </c>
      <c r="R27" s="3">
        <v>0</v>
      </c>
      <c r="S27" s="3">
        <f>Q27/'F&amp;B Summary'!$Q$148</f>
        <v>0</v>
      </c>
      <c r="T27" s="35"/>
      <c r="U27" s="40">
        <f t="shared" si="1"/>
        <v>0</v>
      </c>
    </row>
    <row r="28" spans="1:21" s="3" customFormat="1" ht="25.4" customHeight="1">
      <c r="A28" s="3" t="s">
        <v>494</v>
      </c>
      <c r="B28" s="3" t="s">
        <v>467</v>
      </c>
      <c r="D28" s="26" t="s">
        <v>495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>
        <f t="shared" si="2"/>
        <v>0</v>
      </c>
      <c r="R28" s="3">
        <v>0</v>
      </c>
      <c r="S28" s="3">
        <f>Q28/'F&amp;B Summary'!$Q$148</f>
        <v>0</v>
      </c>
      <c r="T28" s="35"/>
      <c r="U28" s="40">
        <f t="shared" si="1"/>
        <v>0</v>
      </c>
    </row>
    <row r="29" spans="1:21" s="3" customFormat="1" ht="25.4" customHeight="1">
      <c r="A29" s="3" t="s">
        <v>496</v>
      </c>
      <c r="B29" s="3" t="s">
        <v>467</v>
      </c>
      <c r="D29" s="26" t="s">
        <v>171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>
        <f t="shared" si="2"/>
        <v>0</v>
      </c>
      <c r="R29" s="3">
        <v>0</v>
      </c>
      <c r="S29" s="3">
        <f>Q29/'F&amp;B Summary'!$Q$148</f>
        <v>0</v>
      </c>
      <c r="T29" s="35"/>
      <c r="U29" s="40">
        <f t="shared" si="1"/>
        <v>0</v>
      </c>
    </row>
    <row r="30" spans="1:21" s="3" customFormat="1" ht="25.4" customHeight="1">
      <c r="A30" s="3" t="s">
        <v>497</v>
      </c>
      <c r="B30" s="3" t="s">
        <v>467</v>
      </c>
      <c r="D30" s="26" t="s">
        <v>173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>
        <f t="shared" si="2"/>
        <v>0</v>
      </c>
      <c r="R30" s="3">
        <v>0</v>
      </c>
      <c r="S30" s="3">
        <f>Q30/'F&amp;B Summary'!$Q$148</f>
        <v>0</v>
      </c>
      <c r="T30" s="35"/>
      <c r="U30" s="40">
        <f t="shared" si="1"/>
        <v>0</v>
      </c>
    </row>
    <row r="31" spans="1:21" s="3" customFormat="1" ht="25.4" customHeight="1">
      <c r="A31" s="3" t="s">
        <v>498</v>
      </c>
      <c r="B31" s="3" t="s">
        <v>467</v>
      </c>
      <c r="D31" s="26" t="s">
        <v>499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>
        <f t="shared" si="2"/>
        <v>0</v>
      </c>
      <c r="R31" s="3">
        <v>0</v>
      </c>
      <c r="S31" s="3">
        <f>Q31/'F&amp;B Summary'!$Q$148</f>
        <v>0</v>
      </c>
      <c r="T31" s="35"/>
      <c r="U31" s="40">
        <f t="shared" si="1"/>
        <v>0</v>
      </c>
    </row>
    <row r="32" spans="1:21" s="3" customFormat="1" ht="25.4" customHeight="1">
      <c r="A32" s="3" t="s">
        <v>500</v>
      </c>
      <c r="B32" s="3" t="s">
        <v>467</v>
      </c>
      <c r="D32" s="26" t="s">
        <v>501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>
        <f t="shared" si="2"/>
        <v>0</v>
      </c>
      <c r="R32" s="3">
        <v>0</v>
      </c>
      <c r="S32" s="3">
        <f>Q32/'F&amp;B Summary'!$Q$148</f>
        <v>0</v>
      </c>
      <c r="T32" s="35"/>
      <c r="U32" s="40">
        <f t="shared" si="1"/>
        <v>0</v>
      </c>
    </row>
    <row r="33" spans="1:21" s="3" customFormat="1" ht="25.4" customHeight="1">
      <c r="A33" s="3" t="s">
        <v>502</v>
      </c>
      <c r="B33" s="3" t="s">
        <v>467</v>
      </c>
      <c r="D33" s="26" t="s">
        <v>503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>
        <f t="shared" si="2"/>
        <v>0</v>
      </c>
      <c r="R33" s="3">
        <v>0</v>
      </c>
      <c r="S33" s="3">
        <f>Q33/'F&amp;B Summary'!$Q$148</f>
        <v>0</v>
      </c>
      <c r="T33" s="35"/>
      <c r="U33" s="40">
        <f t="shared" si="1"/>
        <v>0</v>
      </c>
    </row>
    <row r="34" spans="1:21" s="3" customFormat="1" ht="25.4" customHeight="1">
      <c r="A34" s="3" t="s">
        <v>504</v>
      </c>
      <c r="B34" s="3" t="s">
        <v>467</v>
      </c>
      <c r="D34" s="26" t="s">
        <v>505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>
        <f t="shared" si="2"/>
        <v>0</v>
      </c>
      <c r="R34" s="3">
        <v>0</v>
      </c>
      <c r="S34" s="3">
        <f>Q34/'F&amp;B Summary'!$Q$148</f>
        <v>0</v>
      </c>
      <c r="T34" s="35"/>
      <c r="U34" s="40">
        <f t="shared" si="1"/>
        <v>0</v>
      </c>
    </row>
    <row r="35" spans="1:21" s="3" customFormat="1" ht="25.4" customHeight="1">
      <c r="A35" s="3" t="s">
        <v>506</v>
      </c>
      <c r="B35" s="3" t="s">
        <v>467</v>
      </c>
      <c r="D35" s="26" t="s">
        <v>507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>
        <f t="shared" si="2"/>
        <v>0</v>
      </c>
      <c r="R35" s="3">
        <v>0</v>
      </c>
      <c r="S35" s="3">
        <f>Q35/'F&amp;B Summary'!$Q$148</f>
        <v>0</v>
      </c>
      <c r="T35" s="35"/>
      <c r="U35" s="40">
        <f t="shared" si="1"/>
        <v>0</v>
      </c>
    </row>
    <row r="36" spans="1:21" s="3" customFormat="1" ht="25.4" customHeight="1">
      <c r="A36" s="3" t="s">
        <v>508</v>
      </c>
      <c r="B36" s="3" t="s">
        <v>467</v>
      </c>
      <c r="D36" s="26" t="s">
        <v>509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>
        <f t="shared" si="2"/>
        <v>0</v>
      </c>
      <c r="R36" s="3">
        <v>0</v>
      </c>
      <c r="S36" s="3">
        <f>Q36/'F&amp;B Summary'!$Q$148</f>
        <v>0</v>
      </c>
      <c r="T36" s="35"/>
      <c r="U36" s="40">
        <f t="shared" si="1"/>
        <v>0</v>
      </c>
    </row>
    <row r="37" spans="1:21" s="3" customFormat="1" ht="25.4" customHeight="1">
      <c r="A37" s="3" t="s">
        <v>510</v>
      </c>
      <c r="B37" s="3" t="s">
        <v>467</v>
      </c>
      <c r="D37" s="26" t="s">
        <v>511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>
        <f t="shared" si="2"/>
        <v>0</v>
      </c>
      <c r="R37" s="3">
        <v>0</v>
      </c>
      <c r="S37" s="3">
        <f>Q37/'F&amp;B Summary'!$Q$148</f>
        <v>0</v>
      </c>
      <c r="T37" s="35"/>
      <c r="U37" s="40">
        <f t="shared" si="1"/>
        <v>0</v>
      </c>
    </row>
    <row r="38" spans="1:21" s="3" customFormat="1" ht="25.4" customHeight="1">
      <c r="A38" s="3" t="s">
        <v>512</v>
      </c>
      <c r="B38" s="3" t="s">
        <v>467</v>
      </c>
      <c r="D38" s="26" t="s">
        <v>513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>
        <f t="shared" si="2"/>
        <v>0</v>
      </c>
      <c r="R38" s="3">
        <v>0</v>
      </c>
      <c r="S38" s="3">
        <f>Q38/'F&amp;B Summary'!$Q$148</f>
        <v>0</v>
      </c>
      <c r="T38" s="35"/>
      <c r="U38" s="40">
        <f t="shared" si="1"/>
        <v>0</v>
      </c>
    </row>
    <row r="39" spans="1:21" s="3" customFormat="1" ht="25.4" customHeight="1">
      <c r="A39" s="3" t="s">
        <v>514</v>
      </c>
      <c r="B39" s="3" t="s">
        <v>467</v>
      </c>
      <c r="D39" s="26" t="s">
        <v>515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>
        <f t="shared" si="2"/>
        <v>0</v>
      </c>
      <c r="R39" s="3">
        <v>0</v>
      </c>
      <c r="S39" s="3">
        <f>Q39/'F&amp;B Summary'!$Q$148</f>
        <v>0</v>
      </c>
      <c r="T39" s="35"/>
      <c r="U39" s="40">
        <f t="shared" si="1"/>
        <v>0</v>
      </c>
    </row>
    <row r="40" spans="1:21" s="3" customFormat="1" ht="25.4" customHeight="1">
      <c r="A40" s="3" t="s">
        <v>516</v>
      </c>
      <c r="B40" s="3" t="s">
        <v>467</v>
      </c>
      <c r="D40" s="26" t="s">
        <v>517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>
        <f t="shared" si="2"/>
        <v>0</v>
      </c>
      <c r="R40" s="3">
        <v>0</v>
      </c>
      <c r="S40" s="3">
        <f>Q40/'F&amp;B Summary'!$Q$148</f>
        <v>0</v>
      </c>
      <c r="T40" s="35"/>
      <c r="U40" s="40">
        <f t="shared" si="1"/>
        <v>0</v>
      </c>
    </row>
    <row r="41" spans="1:21" s="3" customFormat="1" ht="25.4" customHeight="1">
      <c r="A41" s="3" t="s">
        <v>518</v>
      </c>
      <c r="B41" s="3" t="s">
        <v>467</v>
      </c>
      <c r="D41" s="26" t="s">
        <v>519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>
        <f t="shared" si="2"/>
        <v>0</v>
      </c>
      <c r="R41" s="3">
        <v>0</v>
      </c>
      <c r="S41" s="3">
        <f>Q41/'F&amp;B Summary'!$Q$148</f>
        <v>0</v>
      </c>
      <c r="T41" s="35"/>
      <c r="U41" s="40">
        <f t="shared" si="1"/>
        <v>0</v>
      </c>
    </row>
    <row r="42" spans="1:21" s="3" customFormat="1" ht="25.4" customHeight="1">
      <c r="A42" s="3" t="s">
        <v>520</v>
      </c>
      <c r="B42" s="3" t="s">
        <v>467</v>
      </c>
      <c r="D42" s="26" t="s">
        <v>521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>
        <f t="shared" si="2"/>
        <v>0</v>
      </c>
      <c r="R42" s="3">
        <v>0</v>
      </c>
      <c r="S42" s="3">
        <f>Q42/'F&amp;B Summary'!$Q$148</f>
        <v>0</v>
      </c>
      <c r="T42" s="35"/>
      <c r="U42" s="40">
        <f t="shared" si="1"/>
        <v>0</v>
      </c>
    </row>
    <row r="43" spans="1:21" s="3" customFormat="1" ht="25.4" customHeight="1">
      <c r="A43" s="3" t="s">
        <v>522</v>
      </c>
      <c r="B43" s="3" t="s">
        <v>467</v>
      </c>
      <c r="D43" s="26" t="s">
        <v>523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3">
        <f t="shared" si="2"/>
        <v>0</v>
      </c>
      <c r="R43" s="3">
        <v>29590.75</v>
      </c>
      <c r="S43" s="3">
        <f>Q43/'F&amp;B Summary'!$Q$148</f>
        <v>0</v>
      </c>
      <c r="T43" s="35"/>
      <c r="U43" s="40">
        <f t="shared" si="1"/>
        <v>0</v>
      </c>
    </row>
    <row r="44" spans="1:21" s="3" customFormat="1" ht="25.4" customHeight="1">
      <c r="A44" s="3" t="s">
        <v>524</v>
      </c>
      <c r="B44" s="3" t="s">
        <v>467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">
        <v>0</v>
      </c>
      <c r="S44" s="3">
        <f>Q44/'F&amp;B Summary'!$Q$148</f>
        <v>0</v>
      </c>
      <c r="T44" s="35"/>
      <c r="U44" s="40">
        <f t="shared" si="1"/>
        <v>0</v>
      </c>
    </row>
    <row r="45" spans="1:21" s="3" customFormat="1" ht="25.4" customHeight="1">
      <c r="A45" s="3" t="s">
        <v>526</v>
      </c>
      <c r="B45" s="3" t="s">
        <v>467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">
        <v>0</v>
      </c>
      <c r="S45" s="3">
        <f>Q45/'F&amp;B Summary'!$Q$148</f>
        <v>0</v>
      </c>
      <c r="T45" s="35"/>
      <c r="U45" s="40">
        <f t="shared" si="1"/>
        <v>0</v>
      </c>
    </row>
    <row r="46" spans="1:21" s="3" customFormat="1" ht="25.4" customHeight="1">
      <c r="A46" s="3" t="s">
        <v>528</v>
      </c>
      <c r="B46" s="3" t="s">
        <v>467</v>
      </c>
      <c r="D46" s="29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">
        <v>0</v>
      </c>
      <c r="S46" s="3">
        <f>Q46/'F&amp;B Summary'!$Q$148</f>
        <v>0</v>
      </c>
      <c r="T46" s="35"/>
      <c r="U46" s="40">
        <f t="shared" si="1"/>
        <v>0</v>
      </c>
    </row>
    <row r="47" spans="1:21" s="3" customFormat="1" ht="25.4" customHeight="1">
      <c r="A47" s="3" t="s">
        <v>530</v>
      </c>
      <c r="B47" s="3" t="s">
        <v>467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">
        <v>0</v>
      </c>
      <c r="S47" s="3">
        <f>Q47/'F&amp;B Summary'!$Q$148</f>
        <v>0</v>
      </c>
      <c r="T47" s="35"/>
      <c r="U47" s="40">
        <f t="shared" si="1"/>
        <v>0</v>
      </c>
    </row>
    <row r="48" spans="1:21" s="3" customFormat="1" ht="25.4" customHeight="1">
      <c r="A48" s="3" t="s">
        <v>532</v>
      </c>
      <c r="B48" s="3" t="s">
        <v>467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">
        <v>0</v>
      </c>
      <c r="S48" s="3">
        <f>Q48/'F&amp;B Summary'!$Q$148</f>
        <v>0</v>
      </c>
      <c r="T48" s="35"/>
      <c r="U48" s="40">
        <f t="shared" si="1"/>
        <v>0</v>
      </c>
    </row>
    <row r="49" spans="1:21" s="3" customFormat="1" ht="25.4" customHeight="1">
      <c r="A49" s="3" t="s">
        <v>534</v>
      </c>
      <c r="B49" s="3" t="s">
        <v>467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">
        <v>0</v>
      </c>
      <c r="S49" s="3">
        <f>Q49/'F&amp;B Summary'!$Q$148</f>
        <v>0</v>
      </c>
      <c r="T49" s="35"/>
      <c r="U49" s="40">
        <f t="shared" si="1"/>
        <v>0</v>
      </c>
    </row>
    <row r="50" spans="1:21" s="3" customFormat="1" ht="25.4" customHeight="1">
      <c r="A50" s="3" t="s">
        <v>536</v>
      </c>
      <c r="B50" s="3" t="s">
        <v>467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">
        <v>10710.05</v>
      </c>
      <c r="S50" s="3">
        <f>Q50/'F&amp;B Summary'!$Q$148</f>
        <v>0</v>
      </c>
      <c r="T50" s="35"/>
      <c r="U50" s="40">
        <f t="shared" si="1"/>
        <v>0</v>
      </c>
    </row>
    <row r="51" spans="1:21" s="3" customFormat="1" ht="24.75" customHeight="1">
      <c r="A51" s="3" t="s">
        <v>538</v>
      </c>
      <c r="B51" s="3" t="s">
        <v>467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">
        <v>0</v>
      </c>
      <c r="S51" s="3">
        <f>Q51/'F&amp;B Summary'!$Q$148</f>
        <v>0</v>
      </c>
      <c r="T51" s="35"/>
      <c r="U51" s="40">
        <f t="shared" si="1"/>
        <v>0</v>
      </c>
    </row>
    <row r="52" spans="1:21" s="3" customFormat="1" ht="25.4" customHeight="1">
      <c r="A52" s="3" t="s">
        <v>540</v>
      </c>
      <c r="B52" s="3" t="s">
        <v>467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">
        <v>0</v>
      </c>
      <c r="S52" s="3">
        <f>Q52/'F&amp;B Summary'!$Q$148</f>
        <v>0</v>
      </c>
      <c r="T52" s="35"/>
      <c r="U52" s="40">
        <f t="shared" si="1"/>
        <v>0</v>
      </c>
    </row>
    <row r="53" spans="1:21" s="3" customFormat="1" ht="25.4" customHeight="1">
      <c r="A53" s="3" t="s">
        <v>542</v>
      </c>
      <c r="B53" s="3" t="s">
        <v>467</v>
      </c>
      <c r="D53" s="29" t="s">
        <v>543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">
        <v>0</v>
      </c>
      <c r="S53" s="3">
        <f>Q53/'F&amp;B Summary'!$Q$148</f>
        <v>0</v>
      </c>
      <c r="T53" s="35"/>
      <c r="U53" s="40">
        <f t="shared" si="1"/>
        <v>0</v>
      </c>
    </row>
    <row r="54" spans="1:21" s="3" customFormat="1" ht="24.75" customHeight="1">
      <c r="A54" s="3" t="s">
        <v>544</v>
      </c>
      <c r="B54" s="3" t="s">
        <v>467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">
        <v>0</v>
      </c>
      <c r="S54" s="3">
        <f>Q54/'F&amp;B Summary'!$Q$148</f>
        <v>0</v>
      </c>
      <c r="T54" s="35"/>
      <c r="U54" s="40">
        <f t="shared" si="1"/>
        <v>0</v>
      </c>
    </row>
    <row r="55" spans="1:21" s="3" customFormat="1" ht="25.4" customHeight="1">
      <c r="A55" s="3" t="s">
        <v>546</v>
      </c>
      <c r="B55" s="3" t="s">
        <v>467</v>
      </c>
      <c r="D55" s="29" t="s">
        <v>547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>
        <f t="shared" si="2"/>
        <v>0</v>
      </c>
      <c r="R55" s="3">
        <v>20.6</v>
      </c>
      <c r="S55" s="3">
        <f>Q55/'F&amp;B Summary'!$Q$148</f>
        <v>0</v>
      </c>
      <c r="T55" s="35"/>
      <c r="U55" s="40">
        <f t="shared" si="1"/>
        <v>0</v>
      </c>
    </row>
    <row r="56" spans="1:21" s="3" customFormat="1" ht="25.4" customHeight="1">
      <c r="A56" s="3" t="s">
        <v>548</v>
      </c>
      <c r="B56" s="3" t="s">
        <v>467</v>
      </c>
      <c r="D56" s="26" t="s">
        <v>549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>
        <f t="shared" si="2"/>
        <v>0</v>
      </c>
      <c r="R56" s="3">
        <v>0</v>
      </c>
      <c r="S56" s="3">
        <f>Q56/'F&amp;B Summary'!$Q$148</f>
        <v>0</v>
      </c>
      <c r="T56" s="35"/>
      <c r="U56" s="40">
        <f t="shared" si="1"/>
        <v>0</v>
      </c>
    </row>
    <row r="57" spans="1:21" s="3" customFormat="1" ht="25.4" customHeight="1">
      <c r="A57" s="3" t="s">
        <v>550</v>
      </c>
      <c r="B57" s="3" t="s">
        <v>467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">
        <v>0</v>
      </c>
      <c r="S57" s="3">
        <f>Q57/'F&amp;B Summary'!$Q$148</f>
        <v>0</v>
      </c>
      <c r="T57" s="35"/>
      <c r="U57" s="40">
        <f t="shared" si="1"/>
        <v>0</v>
      </c>
    </row>
    <row r="58" spans="1:21" s="3" customFormat="1" ht="25.4" customHeight="1">
      <c r="A58" s="3" t="s">
        <v>552</v>
      </c>
      <c r="B58" s="3" t="s">
        <v>467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">
        <v>0</v>
      </c>
      <c r="S58" s="3">
        <f>Q58/'F&amp;B Summary'!$Q$148</f>
        <v>0</v>
      </c>
      <c r="T58" s="35"/>
      <c r="U58" s="40">
        <f t="shared" si="1"/>
        <v>0</v>
      </c>
    </row>
    <row r="59" spans="1:21" s="3" customFormat="1" ht="25.4" customHeight="1">
      <c r="A59" s="3" t="s">
        <v>554</v>
      </c>
      <c r="B59" s="3" t="s">
        <v>467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">
        <v>0</v>
      </c>
      <c r="S59" s="3">
        <f>Q59/'F&amp;B Summary'!$Q$148</f>
        <v>0</v>
      </c>
      <c r="T59" s="35"/>
      <c r="U59" s="40">
        <f t="shared" si="1"/>
        <v>0</v>
      </c>
    </row>
    <row r="60" spans="1:21" s="3" customFormat="1" ht="25.4" customHeight="1">
      <c r="A60" s="3" t="s">
        <v>556</v>
      </c>
      <c r="B60" s="3" t="s">
        <v>467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">
        <v>0</v>
      </c>
      <c r="S60" s="3">
        <f>Q60/'F&amp;B Summary'!$Q$148</f>
        <v>0</v>
      </c>
      <c r="T60" s="35"/>
      <c r="U60" s="40">
        <f t="shared" si="1"/>
        <v>0</v>
      </c>
    </row>
    <row r="61" spans="1:21" s="3" customFormat="1" ht="25.4" customHeight="1">
      <c r="A61" s="3" t="s">
        <v>558</v>
      </c>
      <c r="B61" s="3" t="s">
        <v>467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">
        <v>0</v>
      </c>
      <c r="S61" s="3">
        <f>Q61/'F&amp;B Summary'!$Q$148</f>
        <v>0</v>
      </c>
      <c r="T61" s="35"/>
      <c r="U61" s="40">
        <f t="shared" si="1"/>
        <v>0</v>
      </c>
    </row>
    <row r="62" spans="1:21" s="3" customFormat="1" ht="25.4" customHeight="1">
      <c r="A62" s="3" t="s">
        <v>422</v>
      </c>
      <c r="B62" s="3" t="s">
        <v>467</v>
      </c>
      <c r="D62" s="26" t="s">
        <v>423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T62" s="35"/>
      <c r="U62" s="40">
        <f t="shared" si="1"/>
        <v>0</v>
      </c>
    </row>
    <row r="63" spans="1:21" s="3" customFormat="1" ht="25.4" customHeight="1">
      <c r="A63" s="3" t="s">
        <v>560</v>
      </c>
      <c r="B63" s="3" t="s">
        <v>467</v>
      </c>
      <c r="D63" s="26" t="s">
        <v>561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">
        <v>0</v>
      </c>
      <c r="S63" s="3">
        <f>Q63/'F&amp;B Summary'!$Q$148</f>
        <v>0</v>
      </c>
      <c r="T63" s="35"/>
      <c r="U63" s="40">
        <f t="shared" si="1"/>
        <v>0</v>
      </c>
    </row>
    <row r="64" spans="1:21" s="3" customFormat="1" ht="25.4" customHeight="1">
      <c r="A64" s="3" t="s">
        <v>562</v>
      </c>
      <c r="B64" s="3" t="s">
        <v>467</v>
      </c>
      <c r="D64" s="26" t="s">
        <v>563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">
        <v>0</v>
      </c>
      <c r="S64" s="3">
        <f>Q64/'F&amp;B Summary'!$Q$148</f>
        <v>0</v>
      </c>
      <c r="T64" s="35"/>
      <c r="U64" s="40">
        <f t="shared" si="1"/>
        <v>0</v>
      </c>
    </row>
    <row r="65" spans="1:21" s="3" customFormat="1" ht="25.4" customHeight="1">
      <c r="A65" s="3" t="s">
        <v>564</v>
      </c>
      <c r="B65" s="3" t="s">
        <v>467</v>
      </c>
      <c r="D65" s="26" t="s">
        <v>565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">
        <v>0</v>
      </c>
      <c r="S65" s="3">
        <f>Q65/'F&amp;B Summary'!$Q$148</f>
        <v>0</v>
      </c>
      <c r="T65" s="35"/>
      <c r="U65" s="40">
        <f t="shared" si="1"/>
        <v>0</v>
      </c>
    </row>
    <row r="66" spans="1:21" s="3" customFormat="1" ht="25.4" customHeight="1">
      <c r="A66" s="3" t="s">
        <v>566</v>
      </c>
      <c r="B66" s="3" t="s">
        <v>467</v>
      </c>
      <c r="D66" s="26" t="s">
        <v>567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>
        <f t="shared" si="2"/>
        <v>0</v>
      </c>
      <c r="R66" s="3">
        <v>0</v>
      </c>
      <c r="S66" s="3">
        <f>Q66/'F&amp;B Summary'!$Q$148</f>
        <v>0</v>
      </c>
      <c r="T66" s="35"/>
      <c r="U66" s="40">
        <f t="shared" si="1"/>
        <v>0</v>
      </c>
    </row>
    <row r="67" spans="1:21" s="3" customFormat="1" ht="25.4" customHeight="1">
      <c r="A67" s="3" t="s">
        <v>568</v>
      </c>
      <c r="B67" s="3" t="s">
        <v>467</v>
      </c>
      <c r="D67" s="26" t="s">
        <v>569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">
        <v>0</v>
      </c>
      <c r="S67" s="3">
        <f>Q67/'F&amp;B Summary'!$Q$148</f>
        <v>0</v>
      </c>
      <c r="T67" s="35"/>
      <c r="U67" s="40">
        <f t="shared" si="1"/>
        <v>0</v>
      </c>
    </row>
    <row r="68" spans="1:21" s="3" customFormat="1" ht="25.4" customHeight="1">
      <c r="A68" s="3" t="s">
        <v>570</v>
      </c>
      <c r="B68" s="3" t="s">
        <v>467</v>
      </c>
      <c r="D68" s="26" t="s">
        <v>571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3">
        <f t="shared" si="2"/>
        <v>0</v>
      </c>
      <c r="R68" s="3">
        <v>0</v>
      </c>
      <c r="S68" s="3">
        <f>Q68/'F&amp;B Summary'!$Q$148</f>
        <v>0</v>
      </c>
      <c r="T68" s="35"/>
      <c r="U68" s="40">
        <f t="shared" si="1"/>
        <v>0</v>
      </c>
    </row>
    <row r="69" spans="1:21" s="3" customFormat="1" ht="25.4" customHeight="1">
      <c r="A69" s="3" t="s">
        <v>572</v>
      </c>
      <c r="B69" s="3" t="s">
        <v>467</v>
      </c>
      <c r="D69" s="26" t="s">
        <v>573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3">
        <f t="shared" si="2"/>
        <v>0</v>
      </c>
      <c r="R69" s="3">
        <v>4626.67</v>
      </c>
      <c r="S69" s="3">
        <f>Q69/'F&amp;B Summary'!$Q$148</f>
        <v>0</v>
      </c>
      <c r="T69" s="35"/>
      <c r="U69" s="40">
        <f t="shared" si="1"/>
        <v>0</v>
      </c>
    </row>
    <row r="70" spans="1:21" s="3" customFormat="1" ht="25.4" customHeight="1">
      <c r="A70" s="3" t="s">
        <v>574</v>
      </c>
      <c r="B70" s="3" t="s">
        <v>467</v>
      </c>
      <c r="D70" s="26" t="s">
        <v>575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3">
        <f t="shared" si="2"/>
        <v>0</v>
      </c>
      <c r="R70" s="3">
        <v>118770.64</v>
      </c>
      <c r="S70" s="3">
        <f>Q70/'F&amp;B Summary'!$Q$148</f>
        <v>0</v>
      </c>
      <c r="T70" s="35"/>
      <c r="U70" s="40">
        <f t="shared" si="1"/>
        <v>0</v>
      </c>
    </row>
    <row r="71" spans="1:21" s="3" customFormat="1" ht="25.4" customHeight="1">
      <c r="A71" s="3" t="s">
        <v>576</v>
      </c>
      <c r="B71" s="3" t="s">
        <v>467</v>
      </c>
      <c r="D71" s="26" t="s">
        <v>577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">
        <v>31732.28</v>
      </c>
      <c r="S71" s="3">
        <f>Q71/'F&amp;B Summary'!$Q$148</f>
        <v>0</v>
      </c>
      <c r="T71" s="35"/>
      <c r="U71" s="40">
        <f t="shared" si="1"/>
        <v>0</v>
      </c>
    </row>
    <row r="72" spans="1:21" s="3" customFormat="1" ht="25.4" customHeight="1">
      <c r="A72" s="3" t="s">
        <v>578</v>
      </c>
      <c r="B72" s="3" t="s">
        <v>467</v>
      </c>
      <c r="D72" s="26" t="s">
        <v>579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3">
        <f t="shared" si="2"/>
        <v>0</v>
      </c>
      <c r="R72" s="3">
        <v>38048.019999999997</v>
      </c>
      <c r="S72" s="3">
        <f>Q72/'F&amp;B Summary'!$Q$148</f>
        <v>0</v>
      </c>
      <c r="T72" s="35"/>
      <c r="U72" s="40">
        <f t="shared" si="1"/>
        <v>0</v>
      </c>
    </row>
    <row r="73" spans="1:21" s="3" customFormat="1" ht="25.4" customHeight="1">
      <c r="A73" s="3" t="s">
        <v>580</v>
      </c>
      <c r="B73" s="3" t="s">
        <v>467</v>
      </c>
      <c r="D73" s="26" t="s">
        <v>581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">
        <v>67396.899999999994</v>
      </c>
      <c r="S73" s="3">
        <f>Q73/'F&amp;B Summary'!$Q$148</f>
        <v>0</v>
      </c>
      <c r="T73" s="35"/>
      <c r="U73" s="40">
        <f t="shared" si="1"/>
        <v>0</v>
      </c>
    </row>
    <row r="74" spans="1:21" s="3" customFormat="1" ht="25.4" customHeight="1">
      <c r="A74" s="3" t="s">
        <v>582</v>
      </c>
      <c r="B74" s="3" t="s">
        <v>467</v>
      </c>
      <c r="D74" s="26" t="s">
        <v>583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3">
        <f t="shared" si="2"/>
        <v>0</v>
      </c>
      <c r="R74" s="3">
        <v>0</v>
      </c>
      <c r="S74" s="3">
        <f>Q74/'F&amp;B Summary'!$Q$148</f>
        <v>0</v>
      </c>
      <c r="T74" s="35"/>
      <c r="U74" s="40">
        <f t="shared" si="1"/>
        <v>0</v>
      </c>
    </row>
    <row r="75" spans="1:21" s="3" customFormat="1" ht="25.4" customHeight="1">
      <c r="A75" s="3" t="s">
        <v>584</v>
      </c>
      <c r="B75" s="3" t="s">
        <v>467</v>
      </c>
      <c r="D75" s="26" t="s">
        <v>585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3">
        <f t="shared" si="2"/>
        <v>0</v>
      </c>
      <c r="R75" s="3">
        <v>199955.88</v>
      </c>
      <c r="S75" s="3">
        <f>Q75/'F&amp;B Summary'!$Q$148</f>
        <v>0</v>
      </c>
      <c r="T75" s="35"/>
      <c r="U75" s="40">
        <f t="shared" si="1"/>
        <v>0</v>
      </c>
    </row>
    <row r="76" spans="1:21" s="3" customFormat="1" ht="24.75" customHeight="1">
      <c r="A76" s="3" t="s">
        <v>586</v>
      </c>
      <c r="B76" s="3" t="s">
        <v>467</v>
      </c>
      <c r="D76" s="26" t="s">
        <v>587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">
        <v>60789.32</v>
      </c>
      <c r="S76" s="3">
        <f>Q76/'F&amp;B Summary'!$Q$148</f>
        <v>0</v>
      </c>
      <c r="T76" s="35"/>
      <c r="U76" s="40">
        <f t="shared" si="1"/>
        <v>0</v>
      </c>
    </row>
    <row r="77" spans="1:21" s="3" customFormat="1" ht="25.4" customHeight="1">
      <c r="A77" s="3" t="s">
        <v>588</v>
      </c>
      <c r="B77" s="3" t="s">
        <v>467</v>
      </c>
      <c r="D77" s="26" t="s">
        <v>589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>
        <f t="shared" si="2"/>
        <v>0</v>
      </c>
      <c r="R77" s="3">
        <v>0</v>
      </c>
      <c r="S77" s="3">
        <f>Q77/'F&amp;B Summary'!$Q$148</f>
        <v>0</v>
      </c>
      <c r="T77" s="35"/>
      <c r="U77" s="40">
        <f t="shared" ref="U77:U125" si="3">-IF(Q77-T77=0,0,(Q77-T77)/T77)</f>
        <v>0</v>
      </c>
    </row>
    <row r="78" spans="1:21" s="3" customFormat="1" ht="25.4" customHeight="1">
      <c r="A78" s="3" t="s">
        <v>590</v>
      </c>
      <c r="B78" s="3" t="s">
        <v>467</v>
      </c>
      <c r="D78" s="26" t="s">
        <v>591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>
        <f t="shared" si="2"/>
        <v>0</v>
      </c>
      <c r="R78" s="3">
        <v>0</v>
      </c>
      <c r="S78" s="3">
        <f>Q78/'F&amp;B Summary'!$Q$148</f>
        <v>0</v>
      </c>
      <c r="T78" s="35"/>
      <c r="U78" s="40">
        <f t="shared" si="3"/>
        <v>0</v>
      </c>
    </row>
    <row r="79" spans="1:21" s="3" customFormat="1" ht="25.4" customHeight="1">
      <c r="A79" s="3" t="s">
        <v>592</v>
      </c>
      <c r="B79" s="3" t="s">
        <v>467</v>
      </c>
      <c r="D79" s="26" t="s">
        <v>593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">
        <f t="shared" si="2"/>
        <v>0</v>
      </c>
      <c r="R79" s="3">
        <v>0</v>
      </c>
      <c r="S79" s="3">
        <f>Q79/'F&amp;B Summary'!$Q$148</f>
        <v>0</v>
      </c>
      <c r="T79" s="35"/>
      <c r="U79" s="40">
        <f t="shared" si="3"/>
        <v>0</v>
      </c>
    </row>
    <row r="80" spans="1:21" s="3" customFormat="1" ht="25.4" customHeight="1">
      <c r="A80" s="3" t="s">
        <v>270</v>
      </c>
      <c r="B80" s="3" t="s">
        <v>467</v>
      </c>
      <c r="D80" s="26" t="s">
        <v>594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82" si="4">SUM(E80:P80)</f>
        <v>0</v>
      </c>
      <c r="R80" s="3">
        <v>0</v>
      </c>
      <c r="S80" s="3">
        <f>Q80/'F&amp;B Summary'!$Q$148</f>
        <v>0</v>
      </c>
      <c r="T80" s="35"/>
      <c r="U80" s="40">
        <f t="shared" si="3"/>
        <v>0</v>
      </c>
    </row>
    <row r="81" spans="1:21" s="3" customFormat="1" ht="25.4" customHeight="1">
      <c r="A81" s="3" t="s">
        <v>272</v>
      </c>
      <c r="B81" s="3" t="s">
        <v>467</v>
      </c>
      <c r="D81" s="26" t="s">
        <v>273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>
        <f t="shared" si="4"/>
        <v>0</v>
      </c>
      <c r="R81" s="3">
        <v>0</v>
      </c>
      <c r="S81" s="3">
        <f>Q81/'F&amp;B Summary'!$Q$148</f>
        <v>0</v>
      </c>
      <c r="T81" s="35"/>
      <c r="U81" s="40">
        <f t="shared" si="3"/>
        <v>0</v>
      </c>
    </row>
    <row r="82" spans="1:21" s="3" customFormat="1" ht="25.4" customHeight="1">
      <c r="A82" s="3" t="s">
        <v>595</v>
      </c>
      <c r="B82" s="3" t="s">
        <v>467</v>
      </c>
      <c r="D82" s="26" t="s">
        <v>596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4"/>
        <v>0</v>
      </c>
      <c r="R82" s="3">
        <v>1206413.77</v>
      </c>
      <c r="S82" s="3">
        <f>Q82/'F&amp;B Summary'!$Q$148</f>
        <v>0</v>
      </c>
      <c r="T82" s="35"/>
      <c r="U82" s="40">
        <f t="shared" si="3"/>
        <v>0</v>
      </c>
    </row>
    <row r="83" spans="1:21" s="19" customFormat="1" ht="25.4" customHeight="1">
      <c r="D83" s="21" t="s">
        <v>597</v>
      </c>
      <c r="E83" s="45">
        <f>SUM(E15:E82)</f>
        <v>0</v>
      </c>
      <c r="F83" s="45">
        <f t="shared" ref="F83:P83" si="5">SUM(F15:F82)</f>
        <v>0</v>
      </c>
      <c r="G83" s="45">
        <f t="shared" si="5"/>
        <v>0</v>
      </c>
      <c r="H83" s="45">
        <f t="shared" si="5"/>
        <v>0</v>
      </c>
      <c r="I83" s="45">
        <f t="shared" si="5"/>
        <v>0</v>
      </c>
      <c r="J83" s="45">
        <f t="shared" si="5"/>
        <v>0</v>
      </c>
      <c r="K83" s="45">
        <f t="shared" si="5"/>
        <v>0</v>
      </c>
      <c r="L83" s="45">
        <f t="shared" si="5"/>
        <v>0</v>
      </c>
      <c r="M83" s="45">
        <f t="shared" si="5"/>
        <v>0</v>
      </c>
      <c r="N83" s="45">
        <f t="shared" si="5"/>
        <v>0</v>
      </c>
      <c r="O83" s="45">
        <f t="shared" si="5"/>
        <v>0</v>
      </c>
      <c r="P83" s="45">
        <f t="shared" si="5"/>
        <v>0</v>
      </c>
      <c r="Q83" s="45">
        <f t="shared" ref="Q83" si="6">SUM(Q15:Q82)</f>
        <v>0</v>
      </c>
      <c r="R83" s="45">
        <v>3775081.91</v>
      </c>
      <c r="S83" s="3">
        <f>Q83/'F&amp;B Summary'!$Q$148</f>
        <v>0</v>
      </c>
      <c r="T83" s="35"/>
      <c r="U83" s="40">
        <f t="shared" si="3"/>
        <v>0</v>
      </c>
    </row>
    <row r="84" spans="1:21" s="19" customFormat="1" ht="25.4" customHeight="1">
      <c r="D84" s="21" t="s">
        <v>598</v>
      </c>
      <c r="E84" s="45">
        <f t="shared" ref="E84:Q84" si="7">+E12+E83</f>
        <v>0</v>
      </c>
      <c r="F84" s="45">
        <f t="shared" si="7"/>
        <v>0</v>
      </c>
      <c r="G84" s="45">
        <f t="shared" si="7"/>
        <v>0</v>
      </c>
      <c r="H84" s="45">
        <f t="shared" si="7"/>
        <v>0</v>
      </c>
      <c r="I84" s="45">
        <f t="shared" si="7"/>
        <v>0</v>
      </c>
      <c r="J84" s="45">
        <f t="shared" si="7"/>
        <v>0</v>
      </c>
      <c r="K84" s="45">
        <f t="shared" si="7"/>
        <v>0</v>
      </c>
      <c r="L84" s="45">
        <f t="shared" si="7"/>
        <v>0</v>
      </c>
      <c r="M84" s="45">
        <f t="shared" si="7"/>
        <v>0</v>
      </c>
      <c r="N84" s="45">
        <f t="shared" si="7"/>
        <v>0</v>
      </c>
      <c r="O84" s="45">
        <f t="shared" si="7"/>
        <v>0</v>
      </c>
      <c r="P84" s="45">
        <f t="shared" si="7"/>
        <v>0</v>
      </c>
      <c r="Q84" s="45">
        <f t="shared" si="7"/>
        <v>0</v>
      </c>
      <c r="R84" s="45">
        <v>12763695.470000001</v>
      </c>
      <c r="S84" s="3">
        <f>Q84/'F&amp;B Summary'!$Q$148</f>
        <v>0</v>
      </c>
      <c r="T84" s="35"/>
      <c r="U84" s="40">
        <f t="shared" si="3"/>
        <v>0</v>
      </c>
    </row>
    <row r="85" spans="1:21" s="3" customFormat="1" ht="25.4" hidden="1" customHeight="1">
      <c r="A85" s="77" t="s">
        <v>599</v>
      </c>
      <c r="B85" s="3" t="s">
        <v>600</v>
      </c>
      <c r="D85" s="42" t="s">
        <v>353</v>
      </c>
      <c r="E85" s="68">
        <v>877418.59</v>
      </c>
      <c r="F85" s="68">
        <v>900857.82</v>
      </c>
      <c r="G85" s="68">
        <v>1104096.8</v>
      </c>
      <c r="H85" s="68">
        <v>1309327.04</v>
      </c>
      <c r="I85" s="68">
        <v>1209091.8899999999</v>
      </c>
      <c r="J85" s="68">
        <v>1090347.06</v>
      </c>
      <c r="K85" s="68">
        <v>1162046.0900000001</v>
      </c>
      <c r="L85" s="68">
        <v>1267208.1299999999</v>
      </c>
      <c r="M85" s="68">
        <f>+M84</f>
        <v>0</v>
      </c>
      <c r="N85" s="68">
        <f>+N84</f>
        <v>0</v>
      </c>
      <c r="O85" s="68">
        <f>+O84</f>
        <v>0</v>
      </c>
      <c r="P85" s="68">
        <f>+P84</f>
        <v>0</v>
      </c>
      <c r="Q85" s="3">
        <f>+Q84</f>
        <v>0</v>
      </c>
      <c r="R85" s="3">
        <v>12763695.470000001</v>
      </c>
      <c r="T85" s="35"/>
      <c r="U85" s="40">
        <f t="shared" si="3"/>
        <v>0</v>
      </c>
    </row>
    <row r="86" spans="1:21" s="3" customFormat="1" ht="25.4" customHeight="1">
      <c r="A86" s="77" t="s">
        <v>455</v>
      </c>
      <c r="B86" s="3" t="s">
        <v>467</v>
      </c>
      <c r="D86" s="42" t="s">
        <v>601</v>
      </c>
      <c r="E86" s="27">
        <f t="shared" ref="E86:P86" si="8">-E84</f>
        <v>0</v>
      </c>
      <c r="F86" s="27">
        <f t="shared" si="8"/>
        <v>0</v>
      </c>
      <c r="G86" s="27">
        <f t="shared" si="8"/>
        <v>0</v>
      </c>
      <c r="H86" s="27">
        <f t="shared" si="8"/>
        <v>0</v>
      </c>
      <c r="I86" s="27">
        <f t="shared" si="8"/>
        <v>0</v>
      </c>
      <c r="J86" s="27">
        <f t="shared" si="8"/>
        <v>0</v>
      </c>
      <c r="K86" s="27">
        <f t="shared" si="8"/>
        <v>0</v>
      </c>
      <c r="L86" s="27">
        <f t="shared" si="8"/>
        <v>0</v>
      </c>
      <c r="M86" s="27">
        <f t="shared" si="8"/>
        <v>0</v>
      </c>
      <c r="N86" s="27">
        <f t="shared" si="8"/>
        <v>0</v>
      </c>
      <c r="O86" s="27">
        <f t="shared" si="8"/>
        <v>0</v>
      </c>
      <c r="P86" s="27">
        <f t="shared" si="8"/>
        <v>0</v>
      </c>
      <c r="Q86" s="3">
        <f>SUM(E86:P86)</f>
        <v>0</v>
      </c>
      <c r="T86" s="35"/>
      <c r="U86" s="40">
        <f t="shared" si="3"/>
        <v>0</v>
      </c>
    </row>
    <row r="87" spans="1:21" s="3" customFormat="1" ht="25.4" customHeight="1">
      <c r="D87" s="42"/>
      <c r="E87" s="68"/>
      <c r="F87" s="68"/>
      <c r="G87" s="68"/>
      <c r="H87" s="68"/>
      <c r="I87" s="68"/>
      <c r="T87" s="35"/>
      <c r="U87" s="40"/>
    </row>
    <row r="88" spans="1:21" s="3" customFormat="1" ht="25.4" customHeight="1">
      <c r="B88" s="51"/>
      <c r="D88" s="19" t="s">
        <v>602</v>
      </c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T88" s="35"/>
      <c r="U88" s="40"/>
    </row>
    <row r="89" spans="1:21" s="3" customFormat="1" ht="25.4" customHeight="1">
      <c r="B89" s="51"/>
      <c r="D89" s="19" t="s">
        <v>431</v>
      </c>
      <c r="E89" s="48"/>
      <c r="F89" s="48"/>
      <c r="G89" s="48"/>
      <c r="H89" s="48"/>
      <c r="I89" s="48"/>
      <c r="T89" s="35"/>
      <c r="U89" s="40"/>
    </row>
    <row r="90" spans="1:21" s="3" customFormat="1" ht="25.4" customHeight="1">
      <c r="A90" s="253" t="s">
        <v>297</v>
      </c>
      <c r="B90" s="3" t="s">
        <v>467</v>
      </c>
      <c r="D90" s="26" t="s">
        <v>299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3">
        <f>SUM(E90:P90)</f>
        <v>0</v>
      </c>
      <c r="R90" s="3">
        <v>3618344.18</v>
      </c>
      <c r="S90" s="3">
        <f>Q90/'F&amp;B Summary'!$Q$148</f>
        <v>0</v>
      </c>
      <c r="T90" s="35"/>
      <c r="U90" s="40">
        <f t="shared" si="3"/>
        <v>0</v>
      </c>
    </row>
    <row r="91" spans="1:21" s="3" customFormat="1" ht="25.4" customHeight="1">
      <c r="A91" s="50" t="s">
        <v>300</v>
      </c>
      <c r="B91" s="3" t="s">
        <v>467</v>
      </c>
      <c r="D91" s="26" t="s">
        <v>434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>
        <f>SUM(E91:P91)</f>
        <v>0</v>
      </c>
      <c r="R91" s="3">
        <v>1159791.6399999999</v>
      </c>
      <c r="S91" s="3">
        <f>Q91/'F&amp;B Summary'!$Q$148</f>
        <v>0</v>
      </c>
      <c r="T91" s="35"/>
      <c r="U91" s="40">
        <f t="shared" si="3"/>
        <v>0</v>
      </c>
    </row>
    <row r="92" spans="1:21" s="3" customFormat="1" ht="25.4" customHeight="1">
      <c r="B92" s="51"/>
      <c r="D92" s="21" t="s">
        <v>437</v>
      </c>
      <c r="E92" s="52">
        <f>SUM(E90:E91)</f>
        <v>0</v>
      </c>
      <c r="F92" s="52">
        <f t="shared" ref="F92:P92" si="9">SUM(F90:F91)</f>
        <v>0</v>
      </c>
      <c r="G92" s="52">
        <f t="shared" si="9"/>
        <v>0</v>
      </c>
      <c r="H92" s="52">
        <f t="shared" si="9"/>
        <v>0</v>
      </c>
      <c r="I92" s="52">
        <f t="shared" si="9"/>
        <v>0</v>
      </c>
      <c r="J92" s="52">
        <f t="shared" si="9"/>
        <v>0</v>
      </c>
      <c r="K92" s="52">
        <f t="shared" si="9"/>
        <v>0</v>
      </c>
      <c r="L92" s="52">
        <f t="shared" si="9"/>
        <v>0</v>
      </c>
      <c r="M92" s="52">
        <f t="shared" si="9"/>
        <v>0</v>
      </c>
      <c r="N92" s="52">
        <f t="shared" si="9"/>
        <v>0</v>
      </c>
      <c r="O92" s="52">
        <f t="shared" si="9"/>
        <v>0</v>
      </c>
      <c r="P92" s="52">
        <f t="shared" si="9"/>
        <v>0</v>
      </c>
      <c r="Q92" s="52">
        <f t="shared" ref="Q92" si="10">SUM(Q90:Q91)</f>
        <v>0</v>
      </c>
      <c r="R92" s="52">
        <v>4778135.82</v>
      </c>
      <c r="S92" s="3">
        <f>Q92/'F&amp;B Summary'!$Q$148</f>
        <v>0</v>
      </c>
      <c r="T92" s="35"/>
      <c r="U92" s="40">
        <f t="shared" si="3"/>
        <v>0</v>
      </c>
    </row>
    <row r="93" spans="1:21" s="3" customFormat="1" ht="25.4" customHeight="1">
      <c r="B93" s="51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T93" s="35"/>
      <c r="U93" s="40"/>
    </row>
    <row r="94" spans="1:21" s="3" customFormat="1" ht="25.4" customHeight="1">
      <c r="A94" s="50" t="s">
        <v>603</v>
      </c>
      <c r="B94" s="3" t="s">
        <v>467</v>
      </c>
      <c r="D94" s="26" t="s">
        <v>309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">
        <f>SUM(E94:P94)</f>
        <v>0</v>
      </c>
      <c r="R94" s="3">
        <v>148934.06</v>
      </c>
      <c r="S94" s="3">
        <f>Q94/'F&amp;B Summary'!$Q$148</f>
        <v>0</v>
      </c>
      <c r="T94" s="35"/>
      <c r="U94" s="40">
        <f t="shared" si="3"/>
        <v>0</v>
      </c>
    </row>
    <row r="95" spans="1:21" s="3" customFormat="1" ht="24.65" customHeight="1">
      <c r="A95" s="50" t="s">
        <v>310</v>
      </c>
      <c r="B95" s="3" t="s">
        <v>467</v>
      </c>
      <c r="D95" s="26" t="s">
        <v>311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ref="Q95:Q101" si="11">SUM(E95:P95)</f>
        <v>0</v>
      </c>
      <c r="R95" s="3">
        <v>678215.17</v>
      </c>
      <c r="S95" s="3">
        <f>Q95/'F&amp;B Summary'!$Q$148</f>
        <v>0</v>
      </c>
      <c r="T95" s="35"/>
      <c r="U95" s="40">
        <f t="shared" si="3"/>
        <v>0</v>
      </c>
    </row>
    <row r="96" spans="1:21" s="3" customFormat="1" ht="25.4" customHeight="1">
      <c r="A96" s="50" t="s">
        <v>604</v>
      </c>
      <c r="B96" s="3" t="s">
        <v>467</v>
      </c>
      <c r="D96" s="26" t="s">
        <v>313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11"/>
        <v>0</v>
      </c>
      <c r="R96" s="3">
        <v>16190</v>
      </c>
      <c r="S96" s="3">
        <f>Q96/'F&amp;B Summary'!$Q$148</f>
        <v>0</v>
      </c>
      <c r="T96" s="35"/>
      <c r="U96" s="40">
        <f t="shared" si="3"/>
        <v>0</v>
      </c>
    </row>
    <row r="97" spans="1:21" s="3" customFormat="1" ht="25.4" customHeight="1">
      <c r="A97" s="50" t="s">
        <v>605</v>
      </c>
      <c r="B97" s="3" t="s">
        <v>467</v>
      </c>
      <c r="D97" s="26" t="s">
        <v>315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ref="Q97:Q98" si="12">SUM(E97:P97)</f>
        <v>0</v>
      </c>
      <c r="R97" s="3">
        <v>33600</v>
      </c>
      <c r="S97" s="3">
        <f>Q97/'F&amp;B Summary'!$Q$148</f>
        <v>0</v>
      </c>
      <c r="T97" s="35"/>
      <c r="U97" s="40">
        <f t="shared" ref="U97:U98" si="13">-IF(Q97-T97=0,0,(Q97-T97)/T97)</f>
        <v>0</v>
      </c>
    </row>
    <row r="98" spans="1:21" s="3" customFormat="1" ht="25.4" customHeight="1">
      <c r="A98" s="50" t="s">
        <v>606</v>
      </c>
      <c r="B98" s="3" t="s">
        <v>467</v>
      </c>
      <c r="D98" s="26" t="s">
        <v>317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12"/>
        <v>0</v>
      </c>
      <c r="R98" s="3">
        <v>0</v>
      </c>
      <c r="S98" s="3">
        <f>Q98/'F&amp;B Summary'!$Q$148</f>
        <v>0</v>
      </c>
      <c r="T98" s="35"/>
      <c r="U98" s="40">
        <f t="shared" si="13"/>
        <v>0</v>
      </c>
    </row>
    <row r="99" spans="1:21" s="3" customFormat="1" ht="25.4" customHeight="1">
      <c r="A99" s="50" t="s">
        <v>1066</v>
      </c>
      <c r="B99" s="3" t="s">
        <v>467</v>
      </c>
      <c r="D99" s="26" t="s">
        <v>1134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11"/>
        <v>0</v>
      </c>
      <c r="R99" s="3">
        <v>33600</v>
      </c>
      <c r="S99" s="3">
        <f>Q99/'F&amp;B Summary'!$Q$148</f>
        <v>0</v>
      </c>
      <c r="T99" s="35"/>
      <c r="U99" s="40">
        <f t="shared" si="3"/>
        <v>0</v>
      </c>
    </row>
    <row r="100" spans="1:21" s="3" customFormat="1" ht="25.4" customHeight="1">
      <c r="A100" s="50" t="s">
        <v>1066</v>
      </c>
      <c r="B100" s="3" t="s">
        <v>467</v>
      </c>
      <c r="D100" s="26" t="s">
        <v>1070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3">
        <f t="shared" si="11"/>
        <v>0</v>
      </c>
      <c r="R100" s="3">
        <v>0</v>
      </c>
      <c r="S100" s="3">
        <f>Q100/'F&amp;B Summary'!$Q$148</f>
        <v>0</v>
      </c>
      <c r="T100" s="35"/>
      <c r="U100" s="40">
        <f t="shared" si="3"/>
        <v>0</v>
      </c>
    </row>
    <row r="101" spans="1:21" s="3" customFormat="1" ht="25.4" hidden="1" customHeight="1">
      <c r="A101" s="50" t="s">
        <v>607</v>
      </c>
      <c r="B101" s="3" t="s">
        <v>467</v>
      </c>
      <c r="D101" s="26" t="s">
        <v>608</v>
      </c>
      <c r="E101" s="27"/>
      <c r="F101" s="27"/>
      <c r="G101" s="27"/>
      <c r="H101" s="27"/>
      <c r="I101" s="27"/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3">
        <f t="shared" si="11"/>
        <v>0</v>
      </c>
      <c r="R101" s="3">
        <v>0</v>
      </c>
      <c r="S101" s="3">
        <f>Q101/'F&amp;B Summary'!$Q$148</f>
        <v>0</v>
      </c>
      <c r="T101" s="35"/>
      <c r="U101" s="40">
        <f t="shared" si="3"/>
        <v>0</v>
      </c>
    </row>
    <row r="102" spans="1:21" s="19" customFormat="1" ht="24.75" customHeight="1">
      <c r="A102" s="54"/>
      <c r="B102" s="51"/>
      <c r="D102" s="19" t="s">
        <v>318</v>
      </c>
      <c r="E102" s="52">
        <f>SUM(E94:E101)</f>
        <v>0</v>
      </c>
      <c r="F102" s="52">
        <f t="shared" ref="F102:P102" si="14">SUM(F94:F101)</f>
        <v>0</v>
      </c>
      <c r="G102" s="52">
        <f t="shared" si="14"/>
        <v>0</v>
      </c>
      <c r="H102" s="52">
        <f t="shared" si="14"/>
        <v>0</v>
      </c>
      <c r="I102" s="52">
        <f t="shared" si="14"/>
        <v>0</v>
      </c>
      <c r="J102" s="52">
        <f t="shared" si="14"/>
        <v>0</v>
      </c>
      <c r="K102" s="52">
        <f t="shared" si="14"/>
        <v>0</v>
      </c>
      <c r="L102" s="52">
        <f t="shared" si="14"/>
        <v>0</v>
      </c>
      <c r="M102" s="52">
        <f t="shared" si="14"/>
        <v>0</v>
      </c>
      <c r="N102" s="52">
        <f t="shared" si="14"/>
        <v>0</v>
      </c>
      <c r="O102" s="52">
        <f t="shared" si="14"/>
        <v>0</v>
      </c>
      <c r="P102" s="52">
        <f t="shared" si="14"/>
        <v>0</v>
      </c>
      <c r="Q102" s="52">
        <f t="shared" ref="Q102" si="15">SUM(Q94:Q101)</f>
        <v>0</v>
      </c>
      <c r="R102" s="52">
        <v>876939.23</v>
      </c>
      <c r="S102" s="3">
        <f>Q102/'F&amp;B Summary'!$Q$148</f>
        <v>0</v>
      </c>
      <c r="T102" s="35"/>
      <c r="U102" s="40">
        <f t="shared" si="3"/>
        <v>0</v>
      </c>
    </row>
    <row r="103" spans="1:21" s="3" customFormat="1" ht="25.4" customHeight="1">
      <c r="A103" s="50"/>
      <c r="D103" s="19"/>
      <c r="E103" s="53"/>
      <c r="F103" s="53"/>
      <c r="G103" s="53"/>
      <c r="H103" s="53"/>
      <c r="I103" s="53"/>
      <c r="T103" s="35"/>
      <c r="U103" s="40"/>
    </row>
    <row r="104" spans="1:21" s="3" customFormat="1" ht="25.4" customHeight="1">
      <c r="A104" s="254" t="s">
        <v>609</v>
      </c>
      <c r="B104" s="3" t="s">
        <v>467</v>
      </c>
      <c r="D104" s="26" t="s">
        <v>320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>
        <f>SUM(E104:P104)</f>
        <v>0</v>
      </c>
      <c r="R104" s="3">
        <v>451796</v>
      </c>
      <c r="S104" s="3">
        <f>Q104/'F&amp;B Summary'!$Q$148</f>
        <v>0</v>
      </c>
      <c r="T104" s="35"/>
      <c r="U104" s="40">
        <f t="shared" si="3"/>
        <v>0</v>
      </c>
    </row>
    <row r="105" spans="1:21" s="3" customFormat="1" ht="25.4" customHeight="1">
      <c r="A105" s="254" t="s">
        <v>610</v>
      </c>
      <c r="B105" s="3" t="s">
        <v>467</v>
      </c>
      <c r="D105" s="26" t="s">
        <v>322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ref="Q105:Q111" si="16">SUM(E105:P105)</f>
        <v>0</v>
      </c>
      <c r="R105" s="3">
        <v>306116.28000000003</v>
      </c>
      <c r="S105" s="3">
        <f>Q105/'F&amp;B Summary'!$Q$148</f>
        <v>0</v>
      </c>
      <c r="T105" s="35"/>
      <c r="U105" s="40">
        <f t="shared" si="3"/>
        <v>0</v>
      </c>
    </row>
    <row r="106" spans="1:21" s="3" customFormat="1" ht="25.4" customHeight="1">
      <c r="A106" s="254" t="s">
        <v>611</v>
      </c>
      <c r="B106" s="3" t="s">
        <v>467</v>
      </c>
      <c r="D106" s="26" t="s">
        <v>324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16"/>
        <v>0</v>
      </c>
      <c r="R106" s="3">
        <v>15840.48</v>
      </c>
      <c r="S106" s="3">
        <f>Q106/'F&amp;B Summary'!$Q$148</f>
        <v>0</v>
      </c>
      <c r="T106" s="35"/>
      <c r="U106" s="40">
        <f t="shared" si="3"/>
        <v>0</v>
      </c>
    </row>
    <row r="107" spans="1:21" s="3" customFormat="1" ht="25.4" customHeight="1">
      <c r="A107" s="254" t="s">
        <v>612</v>
      </c>
      <c r="B107" s="3" t="s">
        <v>467</v>
      </c>
      <c r="D107" s="26" t="s">
        <v>326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16"/>
        <v>0</v>
      </c>
      <c r="R107" s="3">
        <v>7884.16</v>
      </c>
      <c r="S107" s="3">
        <f>Q107/'F&amp;B Summary'!$Q$148</f>
        <v>0</v>
      </c>
      <c r="T107" s="35"/>
      <c r="U107" s="40">
        <f t="shared" si="3"/>
        <v>0</v>
      </c>
    </row>
    <row r="108" spans="1:21" s="3" customFormat="1" ht="25.4" customHeight="1">
      <c r="A108" s="254" t="s">
        <v>613</v>
      </c>
      <c r="B108" s="3" t="s">
        <v>467</v>
      </c>
      <c r="D108" s="26" t="s">
        <v>328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16"/>
        <v>0</v>
      </c>
      <c r="R108" s="3">
        <v>36851.85</v>
      </c>
      <c r="S108" s="3">
        <f>Q108/'F&amp;B Summary'!$Q$148</f>
        <v>0</v>
      </c>
      <c r="T108" s="35"/>
      <c r="U108" s="40">
        <f t="shared" si="3"/>
        <v>0</v>
      </c>
    </row>
    <row r="109" spans="1:21" s="3" customFormat="1" ht="25.4" customHeight="1">
      <c r="A109" s="254" t="s">
        <v>614</v>
      </c>
      <c r="B109" s="3" t="s">
        <v>467</v>
      </c>
      <c r="D109" s="26" t="s">
        <v>330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16"/>
        <v>0</v>
      </c>
      <c r="R109" s="3">
        <v>425126.40000000002</v>
      </c>
      <c r="S109" s="3">
        <f>Q109/'F&amp;B Summary'!$Q$148</f>
        <v>0</v>
      </c>
      <c r="T109" s="35"/>
      <c r="U109" s="40">
        <f t="shared" si="3"/>
        <v>0</v>
      </c>
    </row>
    <row r="110" spans="1:21" s="3" customFormat="1" ht="25.4" customHeight="1">
      <c r="A110" s="254" t="s">
        <v>615</v>
      </c>
      <c r="B110" s="3" t="s">
        <v>467</v>
      </c>
      <c r="D110" s="26" t="s">
        <v>332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16"/>
        <v>0</v>
      </c>
      <c r="R110" s="3">
        <v>0</v>
      </c>
      <c r="S110" s="3">
        <f>Q110/'F&amp;B Summary'!$Q$148</f>
        <v>0</v>
      </c>
      <c r="T110" s="35"/>
      <c r="U110" s="40">
        <f t="shared" si="3"/>
        <v>0</v>
      </c>
    </row>
    <row r="111" spans="1:21" s="3" customFormat="1" ht="25.4" customHeight="1">
      <c r="A111" s="254" t="s">
        <v>616</v>
      </c>
      <c r="B111" s="3" t="s">
        <v>467</v>
      </c>
      <c r="D111" s="26" t="s">
        <v>334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16"/>
        <v>0</v>
      </c>
      <c r="R111" s="3">
        <v>0</v>
      </c>
      <c r="S111" s="3">
        <f>Q111/'F&amp;B Summary'!$Q$148</f>
        <v>0</v>
      </c>
      <c r="T111" s="35"/>
      <c r="U111" s="40">
        <f t="shared" si="3"/>
        <v>0</v>
      </c>
    </row>
    <row r="112" spans="1:21" s="19" customFormat="1" ht="25.4" customHeight="1">
      <c r="A112" s="54"/>
      <c r="B112" s="51"/>
      <c r="D112" s="19" t="s">
        <v>335</v>
      </c>
      <c r="E112" s="45">
        <f>SUM(E104:E111)</f>
        <v>0</v>
      </c>
      <c r="F112" s="45">
        <f t="shared" ref="F112:P112" si="17">SUM(F104:F111)</f>
        <v>0</v>
      </c>
      <c r="G112" s="45">
        <f t="shared" si="17"/>
        <v>0</v>
      </c>
      <c r="H112" s="45">
        <f t="shared" si="17"/>
        <v>0</v>
      </c>
      <c r="I112" s="45">
        <f t="shared" si="17"/>
        <v>0</v>
      </c>
      <c r="J112" s="45">
        <f t="shared" si="17"/>
        <v>0</v>
      </c>
      <c r="K112" s="45">
        <f t="shared" si="17"/>
        <v>0</v>
      </c>
      <c r="L112" s="45">
        <f t="shared" si="17"/>
        <v>0</v>
      </c>
      <c r="M112" s="45">
        <f t="shared" si="17"/>
        <v>0</v>
      </c>
      <c r="N112" s="45">
        <f t="shared" si="17"/>
        <v>0</v>
      </c>
      <c r="O112" s="45">
        <f t="shared" si="17"/>
        <v>0</v>
      </c>
      <c r="P112" s="45">
        <f t="shared" si="17"/>
        <v>0</v>
      </c>
      <c r="Q112" s="45">
        <f t="shared" ref="Q112" si="18">SUM(Q104:Q111)</f>
        <v>0</v>
      </c>
      <c r="R112" s="45">
        <v>1243615.17</v>
      </c>
      <c r="S112" s="3">
        <f>Q112/'F&amp;B Summary'!$Q$148</f>
        <v>0</v>
      </c>
      <c r="T112" s="35"/>
      <c r="U112" s="40">
        <f t="shared" si="3"/>
        <v>0</v>
      </c>
    </row>
    <row r="113" spans="1:21" s="19" customFormat="1" ht="25.4" customHeight="1">
      <c r="A113" s="54"/>
      <c r="B113" s="51"/>
      <c r="D113" s="21"/>
      <c r="E113" s="55"/>
      <c r="F113" s="55"/>
      <c r="G113" s="55"/>
      <c r="H113" s="55"/>
      <c r="I113" s="55"/>
      <c r="T113" s="35"/>
      <c r="U113" s="40"/>
    </row>
    <row r="114" spans="1:21" s="3" customFormat="1" ht="25.4" customHeight="1">
      <c r="A114" s="254" t="s">
        <v>617</v>
      </c>
      <c r="B114" s="3" t="s">
        <v>467</v>
      </c>
      <c r="D114" s="26" t="s">
        <v>337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>SUM(E114:P114)</f>
        <v>0</v>
      </c>
      <c r="R114" s="3">
        <v>0</v>
      </c>
      <c r="T114" s="35"/>
      <c r="U114" s="40">
        <f t="shared" si="3"/>
        <v>0</v>
      </c>
    </row>
    <row r="115" spans="1:21" s="3" customFormat="1" ht="25.4" customHeight="1">
      <c r="A115" s="254" t="s">
        <v>618</v>
      </c>
      <c r="B115" s="3" t="s">
        <v>467</v>
      </c>
      <c r="D115" s="3" t="s">
        <v>339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ref="Q115:Q121" si="19">SUM(E115:P115)</f>
        <v>0</v>
      </c>
      <c r="R115" s="3">
        <v>0</v>
      </c>
      <c r="T115" s="35"/>
      <c r="U115" s="40">
        <f t="shared" si="3"/>
        <v>0</v>
      </c>
    </row>
    <row r="116" spans="1:21" s="3" customFormat="1" ht="25.4" customHeight="1">
      <c r="A116" s="254" t="s">
        <v>619</v>
      </c>
      <c r="B116" s="3" t="s">
        <v>467</v>
      </c>
      <c r="D116" s="26" t="s">
        <v>341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19"/>
        <v>0</v>
      </c>
      <c r="R116" s="3">
        <v>0</v>
      </c>
      <c r="T116" s="35"/>
      <c r="U116" s="40">
        <f t="shared" si="3"/>
        <v>0</v>
      </c>
    </row>
    <row r="117" spans="1:21" s="3" customFormat="1" ht="25.4" customHeight="1">
      <c r="A117" s="254" t="s">
        <v>620</v>
      </c>
      <c r="B117" s="3" t="s">
        <v>467</v>
      </c>
      <c r="D117" s="26" t="s">
        <v>343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19"/>
        <v>0</v>
      </c>
      <c r="R117" s="3">
        <v>0</v>
      </c>
      <c r="T117" s="35"/>
      <c r="U117" s="40">
        <f t="shared" si="3"/>
        <v>0</v>
      </c>
    </row>
    <row r="118" spans="1:21" s="3" customFormat="1" ht="25.4" customHeight="1">
      <c r="A118" s="254" t="s">
        <v>621</v>
      </c>
      <c r="B118" s="3" t="s">
        <v>467</v>
      </c>
      <c r="D118" s="26" t="s">
        <v>345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19"/>
        <v>0</v>
      </c>
      <c r="R118" s="3">
        <v>154372.09</v>
      </c>
      <c r="S118" s="3">
        <f>Q118/'F&amp;B Summary'!$Q$148</f>
        <v>0</v>
      </c>
      <c r="T118" s="35"/>
      <c r="U118" s="40">
        <f t="shared" si="3"/>
        <v>0</v>
      </c>
    </row>
    <row r="119" spans="1:21" s="3" customFormat="1" ht="25.4" customHeight="1">
      <c r="A119" s="50" t="s">
        <v>622</v>
      </c>
      <c r="B119" s="3" t="s">
        <v>467</v>
      </c>
      <c r="D119" s="26" t="s">
        <v>623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19"/>
        <v>0</v>
      </c>
      <c r="R119" s="3">
        <v>147047.38</v>
      </c>
      <c r="S119" s="3">
        <f>Q119/'F&amp;B Summary'!$Q$148</f>
        <v>0</v>
      </c>
      <c r="T119" s="35"/>
      <c r="U119" s="40">
        <f t="shared" si="3"/>
        <v>0</v>
      </c>
    </row>
    <row r="120" spans="1:21" s="3" customFormat="1" ht="25.4" customHeight="1">
      <c r="A120" s="254" t="s">
        <v>346</v>
      </c>
      <c r="B120" s="3" t="s">
        <v>467</v>
      </c>
      <c r="D120" s="26" t="s">
        <v>347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19"/>
        <v>0</v>
      </c>
      <c r="R120" s="3">
        <v>1327709.98</v>
      </c>
      <c r="S120" s="3">
        <f>Q120/'F&amp;B Summary'!$Q$148</f>
        <v>0</v>
      </c>
      <c r="T120" s="35"/>
      <c r="U120" s="40">
        <f t="shared" si="3"/>
        <v>0</v>
      </c>
    </row>
    <row r="121" spans="1:21" s="3" customFormat="1" ht="25.4" customHeight="1">
      <c r="A121" s="3" t="s">
        <v>624</v>
      </c>
      <c r="B121" s="3" t="s">
        <v>467</v>
      </c>
      <c r="D121" s="26" t="s">
        <v>349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19"/>
        <v>0</v>
      </c>
      <c r="R121" s="3">
        <v>460793.89</v>
      </c>
      <c r="S121" s="3">
        <f>Q121/'F&amp;B Summary'!$Q$148</f>
        <v>0</v>
      </c>
      <c r="T121" s="35"/>
      <c r="U121" s="40">
        <f t="shared" si="3"/>
        <v>0</v>
      </c>
    </row>
    <row r="122" spans="1:21" s="3" customFormat="1" ht="25.4" customHeight="1">
      <c r="A122" s="54"/>
      <c r="B122" s="51"/>
      <c r="D122" s="19" t="s">
        <v>350</v>
      </c>
      <c r="E122" s="52">
        <f>SUM(E114:E121)</f>
        <v>0</v>
      </c>
      <c r="F122" s="52">
        <f t="shared" ref="F122:Q122" si="20">SUM(F114:F121)</f>
        <v>0</v>
      </c>
      <c r="G122" s="52">
        <f t="shared" si="20"/>
        <v>0</v>
      </c>
      <c r="H122" s="52">
        <f t="shared" si="20"/>
        <v>0</v>
      </c>
      <c r="I122" s="52">
        <f t="shared" si="20"/>
        <v>0</v>
      </c>
      <c r="J122" s="52">
        <f t="shared" si="20"/>
        <v>0</v>
      </c>
      <c r="K122" s="52">
        <f t="shared" si="20"/>
        <v>0</v>
      </c>
      <c r="L122" s="52">
        <f t="shared" si="20"/>
        <v>0</v>
      </c>
      <c r="M122" s="52">
        <f t="shared" si="20"/>
        <v>0</v>
      </c>
      <c r="N122" s="52">
        <f t="shared" si="20"/>
        <v>0</v>
      </c>
      <c r="O122" s="52">
        <f t="shared" si="20"/>
        <v>0</v>
      </c>
      <c r="P122" s="52">
        <f t="shared" si="20"/>
        <v>0</v>
      </c>
      <c r="Q122" s="52">
        <f t="shared" si="20"/>
        <v>0</v>
      </c>
      <c r="R122" s="52">
        <v>2089923.34</v>
      </c>
      <c r="S122" s="3">
        <f>Q122/'F&amp;B Summary'!$Q$148</f>
        <v>0</v>
      </c>
      <c r="T122" s="35"/>
      <c r="U122" s="40">
        <f t="shared" si="3"/>
        <v>0</v>
      </c>
    </row>
    <row r="123" spans="1:21" s="3" customFormat="1" ht="25.4" customHeight="1">
      <c r="A123" s="54"/>
      <c r="B123" s="51"/>
      <c r="D123" s="19" t="s">
        <v>351</v>
      </c>
      <c r="E123" s="52">
        <f>E92+E102+E112+E122</f>
        <v>0</v>
      </c>
      <c r="F123" s="52">
        <f t="shared" ref="F123:Q123" si="21">F92+F102+F112+F122</f>
        <v>0</v>
      </c>
      <c r="G123" s="52">
        <f t="shared" si="21"/>
        <v>0</v>
      </c>
      <c r="H123" s="52">
        <f t="shared" si="21"/>
        <v>0</v>
      </c>
      <c r="I123" s="52">
        <f t="shared" si="21"/>
        <v>0</v>
      </c>
      <c r="J123" s="52">
        <f t="shared" si="21"/>
        <v>0</v>
      </c>
      <c r="K123" s="52">
        <f t="shared" si="21"/>
        <v>0</v>
      </c>
      <c r="L123" s="52">
        <f t="shared" si="21"/>
        <v>0</v>
      </c>
      <c r="M123" s="52">
        <f t="shared" si="21"/>
        <v>0</v>
      </c>
      <c r="N123" s="52">
        <f t="shared" si="21"/>
        <v>0</v>
      </c>
      <c r="O123" s="52">
        <f t="shared" si="21"/>
        <v>0</v>
      </c>
      <c r="P123" s="52">
        <f t="shared" si="21"/>
        <v>0</v>
      </c>
      <c r="Q123" s="52">
        <f t="shared" si="21"/>
        <v>0</v>
      </c>
      <c r="R123" s="52">
        <v>8988613.5600000005</v>
      </c>
      <c r="S123" s="3">
        <f>Q123/'F&amp;B Summary'!$Q$148</f>
        <v>0</v>
      </c>
      <c r="T123" s="35"/>
      <c r="U123" s="40">
        <f t="shared" si="3"/>
        <v>0</v>
      </c>
    </row>
    <row r="124" spans="1:21" s="3" customFormat="1" ht="25.4" customHeight="1">
      <c r="A124" s="54"/>
      <c r="B124" s="51"/>
      <c r="D124" s="21"/>
      <c r="E124" s="53"/>
      <c r="F124" s="53"/>
      <c r="G124" s="53"/>
      <c r="H124" s="53"/>
      <c r="I124" s="53"/>
      <c r="Q124" s="3">
        <f>Q123-Q99-Q100</f>
        <v>0</v>
      </c>
      <c r="T124" s="35"/>
      <c r="U124" s="40"/>
    </row>
    <row r="125" spans="1:21" s="3" customFormat="1" ht="25.4" customHeight="1">
      <c r="A125" s="3" t="s">
        <v>108</v>
      </c>
      <c r="B125" s="3" t="s">
        <v>467</v>
      </c>
      <c r="D125" s="19" t="s">
        <v>354</v>
      </c>
      <c r="E125" s="267"/>
      <c r="F125" s="267"/>
      <c r="G125" s="267"/>
      <c r="H125" s="267"/>
      <c r="I125" s="267"/>
      <c r="J125" s="267"/>
      <c r="K125" s="267"/>
      <c r="L125" s="267"/>
      <c r="M125" s="267"/>
      <c r="N125" s="267"/>
      <c r="O125" s="267"/>
      <c r="P125" s="267"/>
      <c r="Q125" s="267">
        <f>SUM(E125:P125)/12</f>
        <v>0</v>
      </c>
      <c r="R125" s="79">
        <v>43</v>
      </c>
      <c r="T125" s="35"/>
      <c r="U125" s="40">
        <f t="shared" si="3"/>
        <v>0</v>
      </c>
    </row>
    <row r="128" spans="1:21" ht="26.25" customHeight="1">
      <c r="D128" s="285" t="s">
        <v>625</v>
      </c>
      <c r="E128" s="287">
        <f>E129+E130</f>
        <v>1109900</v>
      </c>
      <c r="F128" s="287">
        <f t="shared" ref="F128:I128" si="22">F129+F130</f>
        <v>546600</v>
      </c>
      <c r="G128" s="287">
        <f t="shared" si="22"/>
        <v>1412740</v>
      </c>
      <c r="H128" s="287">
        <f t="shared" si="22"/>
        <v>1043000</v>
      </c>
      <c r="I128" s="287">
        <f t="shared" si="22"/>
        <v>1446800</v>
      </c>
      <c r="J128" s="287">
        <f t="shared" ref="J128:P128" si="23">J129+J130</f>
        <v>1253500</v>
      </c>
      <c r="K128" s="287">
        <f t="shared" si="23"/>
        <v>1430800</v>
      </c>
      <c r="L128" s="287">
        <f t="shared" si="23"/>
        <v>1227800</v>
      </c>
      <c r="M128" s="287">
        <f t="shared" si="23"/>
        <v>474400</v>
      </c>
      <c r="N128" s="287">
        <f t="shared" si="23"/>
        <v>2474200</v>
      </c>
      <c r="O128" s="287">
        <f t="shared" si="23"/>
        <v>2135900</v>
      </c>
      <c r="P128" s="287">
        <f t="shared" si="23"/>
        <v>1890200</v>
      </c>
      <c r="Q128" s="284">
        <f>SUM(E128:P128)</f>
        <v>16445840</v>
      </c>
    </row>
    <row r="129" spans="4:17" ht="26.25" customHeight="1">
      <c r="D129" s="285" t="s">
        <v>626</v>
      </c>
      <c r="E129" s="287">
        <f>'Fangfei Lounge'!E17</f>
        <v>425200</v>
      </c>
      <c r="F129" s="287">
        <f>'Fangfei Lounge'!F17</f>
        <v>522100</v>
      </c>
      <c r="G129" s="287">
        <f>'Fangfei Lounge'!G17</f>
        <v>405900</v>
      </c>
      <c r="H129" s="287">
        <f>'Fangfei Lounge'!H17</f>
        <v>417400</v>
      </c>
      <c r="I129" s="287">
        <f>'Fangfei Lounge'!I17</f>
        <v>452800</v>
      </c>
      <c r="J129" s="287">
        <f>'Fangfei Lounge'!J17</f>
        <v>411700</v>
      </c>
      <c r="K129" s="287">
        <f>'Fangfei Lounge'!K17</f>
        <v>720800</v>
      </c>
      <c r="L129" s="287">
        <f>'Fangfei Lounge'!L17</f>
        <v>745800</v>
      </c>
      <c r="M129" s="287">
        <f>'Fangfei Lounge'!M17</f>
        <v>363400</v>
      </c>
      <c r="N129" s="287">
        <f>'Fangfei Lounge'!N17</f>
        <v>569400</v>
      </c>
      <c r="O129" s="287">
        <f>'Fangfei Lounge'!O17</f>
        <v>536800</v>
      </c>
      <c r="P129" s="287">
        <f>'Fangfei Lounge'!P17</f>
        <v>602400</v>
      </c>
      <c r="Q129" s="284">
        <f t="shared" ref="Q129:Q134" si="24">SUM(E129:P129)</f>
        <v>6173700</v>
      </c>
    </row>
    <row r="130" spans="4:17" ht="26.25" customHeight="1">
      <c r="D130" s="285" t="s">
        <v>627</v>
      </c>
      <c r="E130" s="287">
        <f>Banquet!E17</f>
        <v>684700</v>
      </c>
      <c r="F130" s="287">
        <f>Banquet!F17</f>
        <v>24500</v>
      </c>
      <c r="G130" s="287">
        <f>Banquet!G17</f>
        <v>1006840</v>
      </c>
      <c r="H130" s="287">
        <f>Banquet!H17</f>
        <v>625600</v>
      </c>
      <c r="I130" s="287">
        <f>Banquet!I17</f>
        <v>994000</v>
      </c>
      <c r="J130" s="287">
        <f>Banquet!J17</f>
        <v>841800</v>
      </c>
      <c r="K130" s="287">
        <f>Banquet!K17</f>
        <v>710000</v>
      </c>
      <c r="L130" s="287">
        <f>Banquet!L17</f>
        <v>482000</v>
      </c>
      <c r="M130" s="287">
        <f>Banquet!M17</f>
        <v>111000</v>
      </c>
      <c r="N130" s="287">
        <f>Banquet!N17</f>
        <v>1904800</v>
      </c>
      <c r="O130" s="287">
        <f>Banquet!O17</f>
        <v>1599100</v>
      </c>
      <c r="P130" s="287">
        <f>Banquet!P17</f>
        <v>1287800</v>
      </c>
      <c r="Q130" s="284">
        <f t="shared" si="24"/>
        <v>10272140</v>
      </c>
    </row>
    <row r="131" spans="4:17" ht="26.25" customHeight="1">
      <c r="D131" s="285"/>
      <c r="E131" s="287"/>
      <c r="F131" s="287"/>
      <c r="G131" s="287"/>
      <c r="H131" s="287"/>
      <c r="I131" s="287"/>
      <c r="J131" s="294"/>
      <c r="K131" s="294"/>
      <c r="L131" s="294"/>
      <c r="M131" s="294"/>
      <c r="N131" s="294"/>
      <c r="O131" s="294"/>
      <c r="P131" s="294"/>
      <c r="Q131" s="284">
        <f t="shared" si="24"/>
        <v>0</v>
      </c>
    </row>
    <row r="132" spans="4:17" ht="26.25" customHeight="1">
      <c r="D132" s="285" t="s">
        <v>628</v>
      </c>
      <c r="E132" s="287">
        <f>E84</f>
        <v>0</v>
      </c>
      <c r="F132" s="287">
        <f t="shared" ref="F132:I132" si="25">F84</f>
        <v>0</v>
      </c>
      <c r="G132" s="287">
        <f t="shared" si="25"/>
        <v>0</v>
      </c>
      <c r="H132" s="287">
        <f t="shared" si="25"/>
        <v>0</v>
      </c>
      <c r="I132" s="287">
        <f t="shared" si="25"/>
        <v>0</v>
      </c>
      <c r="J132" s="287">
        <f t="shared" ref="J132:P132" si="26">J84</f>
        <v>0</v>
      </c>
      <c r="K132" s="287">
        <f t="shared" si="26"/>
        <v>0</v>
      </c>
      <c r="L132" s="287">
        <f t="shared" si="26"/>
        <v>0</v>
      </c>
      <c r="M132" s="287">
        <f t="shared" si="26"/>
        <v>0</v>
      </c>
      <c r="N132" s="287">
        <f t="shared" si="26"/>
        <v>0</v>
      </c>
      <c r="O132" s="287">
        <f t="shared" si="26"/>
        <v>0</v>
      </c>
      <c r="P132" s="287">
        <f t="shared" si="26"/>
        <v>0</v>
      </c>
      <c r="Q132" s="284">
        <f t="shared" si="24"/>
        <v>0</v>
      </c>
    </row>
    <row r="133" spans="4:17" ht="26.25" customHeight="1">
      <c r="D133" s="285" t="s">
        <v>626</v>
      </c>
      <c r="E133" s="295">
        <f>ROUND(E129/E128*E132,2)</f>
        <v>0</v>
      </c>
      <c r="F133" s="295">
        <f t="shared" ref="F133:O133" si="27">ROUND(F129/F128*F132,2)</f>
        <v>0</v>
      </c>
      <c r="G133" s="295">
        <f t="shared" si="27"/>
        <v>0</v>
      </c>
      <c r="H133" s="295">
        <f t="shared" si="27"/>
        <v>0</v>
      </c>
      <c r="I133" s="295">
        <f t="shared" si="27"/>
        <v>0</v>
      </c>
      <c r="J133" s="295">
        <f t="shared" si="27"/>
        <v>0</v>
      </c>
      <c r="K133" s="295">
        <f t="shared" si="27"/>
        <v>0</v>
      </c>
      <c r="L133" s="295">
        <f t="shared" si="27"/>
        <v>0</v>
      </c>
      <c r="M133" s="295">
        <f t="shared" si="27"/>
        <v>0</v>
      </c>
      <c r="N133" s="295">
        <f t="shared" si="27"/>
        <v>0</v>
      </c>
      <c r="O133" s="295">
        <f t="shared" si="27"/>
        <v>0</v>
      </c>
      <c r="P133" s="295">
        <f>ROUND(P129/P128*P132,2)</f>
        <v>0</v>
      </c>
      <c r="Q133" s="284">
        <f t="shared" si="24"/>
        <v>0</v>
      </c>
    </row>
    <row r="134" spans="4:17" ht="26.25" customHeight="1">
      <c r="D134" s="285" t="s">
        <v>627</v>
      </c>
      <c r="E134" s="295">
        <f>ROUND(E130/E128*E132,2)</f>
        <v>0</v>
      </c>
      <c r="F134" s="295">
        <f t="shared" ref="F134:P134" si="28">ROUND(F130/F128*F132,2)</f>
        <v>0</v>
      </c>
      <c r="G134" s="295">
        <f t="shared" si="28"/>
        <v>0</v>
      </c>
      <c r="H134" s="295">
        <f t="shared" si="28"/>
        <v>0</v>
      </c>
      <c r="I134" s="295">
        <f t="shared" si="28"/>
        <v>0</v>
      </c>
      <c r="J134" s="295">
        <f t="shared" si="28"/>
        <v>0</v>
      </c>
      <c r="K134" s="295">
        <f t="shared" si="28"/>
        <v>0</v>
      </c>
      <c r="L134" s="295">
        <f t="shared" si="28"/>
        <v>0</v>
      </c>
      <c r="M134" s="295">
        <f t="shared" si="28"/>
        <v>0</v>
      </c>
      <c r="N134" s="295">
        <f t="shared" si="28"/>
        <v>0</v>
      </c>
      <c r="O134" s="295">
        <f t="shared" si="28"/>
        <v>0</v>
      </c>
      <c r="P134" s="295">
        <f t="shared" si="28"/>
        <v>0</v>
      </c>
      <c r="Q134" s="284">
        <f t="shared" si="24"/>
        <v>0</v>
      </c>
    </row>
    <row r="135" spans="4:17" ht="26.25" customHeight="1">
      <c r="D135" s="285" t="s">
        <v>1124</v>
      </c>
      <c r="E135" s="287">
        <f>E133+E134</f>
        <v>0</v>
      </c>
      <c r="F135" s="287">
        <f t="shared" ref="F135:P135" si="29">F133+F134</f>
        <v>0</v>
      </c>
      <c r="G135" s="287">
        <f t="shared" si="29"/>
        <v>0</v>
      </c>
      <c r="H135" s="287">
        <f t="shared" si="29"/>
        <v>0</v>
      </c>
      <c r="I135" s="287">
        <f t="shared" si="29"/>
        <v>0</v>
      </c>
      <c r="J135" s="287">
        <f t="shared" si="29"/>
        <v>0</v>
      </c>
      <c r="K135" s="287">
        <f t="shared" si="29"/>
        <v>0</v>
      </c>
      <c r="L135" s="287">
        <f t="shared" si="29"/>
        <v>0</v>
      </c>
      <c r="M135" s="287">
        <f t="shared" si="29"/>
        <v>0</v>
      </c>
      <c r="N135" s="287">
        <f t="shared" si="29"/>
        <v>0</v>
      </c>
      <c r="O135" s="287">
        <f t="shared" si="29"/>
        <v>0</v>
      </c>
      <c r="P135" s="287">
        <f t="shared" si="29"/>
        <v>0</v>
      </c>
      <c r="Q135" s="284">
        <f>SUM(E135:P135)</f>
        <v>0</v>
      </c>
    </row>
    <row r="136" spans="4:17" ht="26.25" customHeight="1">
      <c r="D136" s="285" t="s">
        <v>1125</v>
      </c>
      <c r="E136" s="287">
        <f>E132-E135</f>
        <v>0</v>
      </c>
      <c r="F136" s="287">
        <f t="shared" ref="F136:P136" si="30">F132-F135</f>
        <v>0</v>
      </c>
      <c r="G136" s="287">
        <f t="shared" si="30"/>
        <v>0</v>
      </c>
      <c r="H136" s="287">
        <f t="shared" si="30"/>
        <v>0</v>
      </c>
      <c r="I136" s="287">
        <f t="shared" si="30"/>
        <v>0</v>
      </c>
      <c r="J136" s="287">
        <f t="shared" si="30"/>
        <v>0</v>
      </c>
      <c r="K136" s="287">
        <f t="shared" si="30"/>
        <v>0</v>
      </c>
      <c r="L136" s="287">
        <f t="shared" si="30"/>
        <v>0</v>
      </c>
      <c r="M136" s="287">
        <f t="shared" si="30"/>
        <v>0</v>
      </c>
      <c r="N136" s="287">
        <f t="shared" si="30"/>
        <v>0</v>
      </c>
      <c r="O136" s="287">
        <f t="shared" si="30"/>
        <v>0</v>
      </c>
      <c r="P136" s="287">
        <f t="shared" si="30"/>
        <v>0</v>
      </c>
      <c r="Q136" s="284">
        <f>SUM(E136:P136)</f>
        <v>0</v>
      </c>
    </row>
    <row r="137" spans="4:17" ht="26.25" customHeight="1">
      <c r="H137" s="80"/>
      <c r="I137" s="80"/>
    </row>
    <row r="138" spans="4:17" ht="26.25" customHeight="1">
      <c r="H138" s="80"/>
      <c r="I138" s="80"/>
    </row>
    <row r="139" spans="4:17" ht="26.25" customHeight="1">
      <c r="H139" s="80"/>
      <c r="I139" s="80"/>
    </row>
    <row r="140" spans="4:17" ht="26.25" customHeight="1">
      <c r="H140" s="80"/>
      <c r="I140" s="80"/>
    </row>
    <row r="141" spans="4:17" ht="26.25" customHeight="1">
      <c r="H141" s="80"/>
      <c r="I141" s="80"/>
    </row>
    <row r="142" spans="4:17" ht="26.25" customHeight="1">
      <c r="H142" s="80"/>
      <c r="I142" s="80"/>
    </row>
    <row r="143" spans="4:17" ht="26.25" customHeight="1">
      <c r="H143" s="80"/>
      <c r="I143" s="80"/>
    </row>
    <row r="144" spans="4:17" ht="26.25" customHeight="1">
      <c r="H144" s="80"/>
      <c r="I144" s="80"/>
    </row>
    <row r="145" spans="8:9" ht="26.25" customHeight="1">
      <c r="H145" s="80"/>
      <c r="I145" s="80"/>
    </row>
    <row r="146" spans="8:9" ht="26.25" customHeight="1">
      <c r="H146" s="80"/>
      <c r="I146" s="80"/>
    </row>
    <row r="147" spans="8:9" ht="26.25" customHeight="1">
      <c r="H147" s="80"/>
      <c r="I147" s="80"/>
    </row>
    <row r="148" spans="8:9" ht="26.25" customHeight="1">
      <c r="H148" s="80"/>
      <c r="I148" s="80"/>
    </row>
    <row r="149" spans="8:9" ht="26.25" customHeight="1">
      <c r="H149" s="80"/>
      <c r="I149" s="80"/>
    </row>
    <row r="150" spans="8:9" ht="26.25" customHeight="1">
      <c r="H150" s="80"/>
      <c r="I150" s="80"/>
    </row>
    <row r="151" spans="8:9" ht="26.25" customHeight="1">
      <c r="H151" s="80"/>
      <c r="I151" s="80"/>
    </row>
    <row r="152" spans="8:9" ht="26.25" customHeight="1">
      <c r="H152" s="80"/>
      <c r="I152" s="80"/>
    </row>
    <row r="153" spans="8:9" ht="26.25" customHeight="1">
      <c r="H153" s="80"/>
      <c r="I153" s="80"/>
    </row>
    <row r="154" spans="8:9" ht="26.25" customHeight="1">
      <c r="H154" s="27"/>
      <c r="I154" s="27"/>
    </row>
    <row r="155" spans="8:9" ht="26.25" customHeight="1">
      <c r="H155" s="27"/>
      <c r="I155" s="27"/>
    </row>
    <row r="156" spans="8:9" ht="26.25" customHeight="1">
      <c r="H156" s="68"/>
      <c r="I156" s="68"/>
    </row>
    <row r="157" spans="8:9" ht="26.25" customHeight="1">
      <c r="H157" s="53"/>
      <c r="I157" s="53"/>
    </row>
    <row r="158" spans="8:9" ht="26.25" customHeight="1">
      <c r="H158" s="27"/>
      <c r="I158" s="27"/>
    </row>
    <row r="159" spans="8:9" ht="26.25" customHeight="1">
      <c r="H159" s="27"/>
      <c r="I159" s="27"/>
    </row>
    <row r="160" spans="8:9" ht="26.25" customHeight="1">
      <c r="H160" s="27"/>
      <c r="I160" s="27"/>
    </row>
    <row r="161" spans="8:9" ht="26.25" customHeight="1">
      <c r="H161" s="27"/>
      <c r="I161" s="27"/>
    </row>
    <row r="162" spans="8:9" ht="26.25" customHeight="1">
      <c r="H162" s="27"/>
      <c r="I162" s="27"/>
    </row>
    <row r="163" spans="8:9" ht="26.25" customHeight="1">
      <c r="H163" s="27"/>
      <c r="I163" s="27"/>
    </row>
    <row r="164" spans="8:9" ht="26.25" customHeight="1">
      <c r="H164" s="68"/>
      <c r="I164" s="68"/>
    </row>
    <row r="165" spans="8:9" ht="26.25" customHeight="1">
      <c r="H165" s="53"/>
      <c r="I165" s="53"/>
    </row>
    <row r="166" spans="8:9" ht="26.25" customHeight="1">
      <c r="H166" s="27"/>
      <c r="I166" s="27"/>
    </row>
    <row r="167" spans="8:9" ht="26.25" customHeight="1">
      <c r="H167" s="27"/>
      <c r="I167" s="27"/>
    </row>
    <row r="168" spans="8:9" ht="26.25" customHeight="1">
      <c r="H168" s="27"/>
      <c r="I168" s="27"/>
    </row>
    <row r="169" spans="8:9" ht="26.25" customHeight="1">
      <c r="H169" s="27"/>
      <c r="I169" s="27"/>
    </row>
    <row r="170" spans="8:9" ht="26.25" customHeight="1">
      <c r="H170" s="27"/>
      <c r="I170" s="27"/>
    </row>
    <row r="171" spans="8:9" ht="26.25" customHeight="1">
      <c r="H171" s="27"/>
      <c r="I171" s="27"/>
    </row>
    <row r="172" spans="8:9" ht="26.25" customHeight="1">
      <c r="H172" s="27"/>
      <c r="I172" s="27"/>
    </row>
    <row r="173" spans="8:9" ht="26.25" customHeight="1">
      <c r="H173" s="27"/>
      <c r="I173" s="27"/>
    </row>
    <row r="174" spans="8:9" ht="26.25" customHeight="1">
      <c r="H174" s="62"/>
      <c r="I174" s="62"/>
    </row>
    <row r="175" spans="8:9" ht="26.25" customHeight="1">
      <c r="H175" s="55"/>
      <c r="I175" s="55"/>
    </row>
    <row r="176" spans="8:9" ht="26.25" customHeight="1">
      <c r="H176" s="27"/>
      <c r="I176" s="27"/>
    </row>
    <row r="177" spans="8:9" ht="26.25" customHeight="1">
      <c r="H177" s="27"/>
      <c r="I177" s="27"/>
    </row>
    <row r="178" spans="8:9" ht="26.25" customHeight="1">
      <c r="H178" s="27"/>
      <c r="I178" s="27"/>
    </row>
    <row r="179" spans="8:9" ht="26.25" customHeight="1">
      <c r="H179" s="27"/>
      <c r="I179" s="27"/>
    </row>
    <row r="180" spans="8:9" ht="26.25" customHeight="1">
      <c r="H180" s="27"/>
      <c r="I180" s="27"/>
    </row>
    <row r="181" spans="8:9" ht="26.25" customHeight="1">
      <c r="H181" s="27"/>
      <c r="I181" s="27"/>
    </row>
    <row r="182" spans="8:9" ht="26.25" customHeight="1">
      <c r="H182" s="27"/>
      <c r="I182" s="27"/>
    </row>
    <row r="183" spans="8:9" ht="26.25" customHeight="1">
      <c r="H183" s="27"/>
      <c r="I183" s="27"/>
    </row>
    <row r="184" spans="8:9" ht="26.25" customHeight="1">
      <c r="H184" s="68"/>
      <c r="I184" s="68"/>
    </row>
    <row r="185" spans="8:9" ht="26.25" customHeight="1">
      <c r="H185" s="68"/>
      <c r="I185" s="68"/>
    </row>
    <row r="186" spans="8:9" ht="26.25" customHeight="1">
      <c r="H186" s="53"/>
      <c r="I186" s="53"/>
    </row>
    <row r="187" spans="8:9" ht="26.25" customHeight="1">
      <c r="H187" s="27"/>
      <c r="I187" s="27"/>
    </row>
    <row r="188" spans="8:9" ht="26.25" customHeight="1">
      <c r="H188" s="80"/>
      <c r="I188" s="80"/>
    </row>
    <row r="189" spans="8:9" ht="26.25" customHeight="1">
      <c r="H189" s="80"/>
      <c r="I189" s="80"/>
    </row>
    <row r="190" spans="8:9" ht="26.25" customHeight="1">
      <c r="H190" s="80"/>
      <c r="I190" s="80"/>
    </row>
    <row r="191" spans="8:9" ht="26.25" customHeight="1">
      <c r="H191" s="80"/>
      <c r="I191" s="80"/>
    </row>
    <row r="192" spans="8:9" ht="26.25" customHeight="1">
      <c r="H192" s="80"/>
      <c r="I192" s="80"/>
    </row>
    <row r="193" spans="8:9" ht="26.25" customHeight="1">
      <c r="H193" s="80"/>
      <c r="I193" s="80"/>
    </row>
    <row r="194" spans="8:9" ht="26.25" customHeight="1">
      <c r="H194" s="80"/>
      <c r="I194" s="80"/>
    </row>
    <row r="195" spans="8:9" ht="26.25" customHeight="1">
      <c r="H195" s="80"/>
      <c r="I195" s="80"/>
    </row>
    <row r="196" spans="8:9" ht="26.25" customHeight="1">
      <c r="H196" s="80"/>
      <c r="I196" s="80"/>
    </row>
    <row r="197" spans="8:9" ht="26.25" customHeight="1">
      <c r="H197" s="80"/>
      <c r="I197" s="80"/>
    </row>
    <row r="198" spans="8:9" ht="26.25" customHeight="1">
      <c r="H198" s="80"/>
      <c r="I198" s="80"/>
    </row>
    <row r="199" spans="8:9" ht="26.25" customHeight="1">
      <c r="H199" s="80"/>
      <c r="I199" s="80"/>
    </row>
    <row r="200" spans="8:9" ht="26.25" customHeight="1">
      <c r="H200" s="80"/>
      <c r="I200" s="80"/>
    </row>
    <row r="201" spans="8:9" ht="26.25" customHeight="1">
      <c r="H201" s="80"/>
      <c r="I201" s="80"/>
    </row>
    <row r="202" spans="8:9" ht="26.25" customHeight="1">
      <c r="H202" s="80"/>
      <c r="I202" s="80"/>
    </row>
    <row r="203" spans="8:9" ht="26.25" customHeight="1">
      <c r="H203" s="80"/>
      <c r="I203" s="80"/>
    </row>
    <row r="204" spans="8:9" ht="26.25" customHeight="1">
      <c r="H204" s="80"/>
      <c r="I204" s="80"/>
    </row>
    <row r="205" spans="8:9" ht="26.25" customHeight="1">
      <c r="H205" s="80"/>
      <c r="I205" s="80"/>
    </row>
    <row r="206" spans="8:9" ht="26.25" customHeight="1">
      <c r="H206" s="80"/>
      <c r="I206" s="80"/>
    </row>
    <row r="207" spans="8:9" ht="26.25" customHeight="1">
      <c r="H207" s="80"/>
      <c r="I207" s="80"/>
    </row>
    <row r="208" spans="8:9" ht="26.25" customHeight="1">
      <c r="H208" s="80"/>
      <c r="I208" s="80"/>
    </row>
    <row r="209" spans="8:9" ht="26.25" customHeight="1">
      <c r="H209" s="80"/>
      <c r="I209" s="80"/>
    </row>
    <row r="210" spans="8:9" ht="26.25" customHeight="1">
      <c r="H210" s="80"/>
      <c r="I210" s="80"/>
    </row>
    <row r="211" spans="8:9" ht="26.25" customHeight="1">
      <c r="H211" s="80"/>
      <c r="I211" s="80"/>
    </row>
    <row r="212" spans="8:9" ht="26.25" customHeight="1">
      <c r="H212" s="80"/>
      <c r="I212" s="80"/>
    </row>
    <row r="213" spans="8:9" ht="26.25" customHeight="1">
      <c r="H213" s="80"/>
      <c r="I213" s="80"/>
    </row>
    <row r="214" spans="8:9" ht="26.25" customHeight="1">
      <c r="H214" s="80"/>
      <c r="I214" s="80"/>
    </row>
    <row r="215" spans="8:9" ht="26.25" customHeight="1">
      <c r="H215" s="80"/>
      <c r="I215" s="80"/>
    </row>
    <row r="216" spans="8:9" ht="26.25" customHeight="1">
      <c r="H216" s="80"/>
      <c r="I216" s="80"/>
    </row>
    <row r="217" spans="8:9" ht="26.25" customHeight="1">
      <c r="H217" s="80"/>
      <c r="I217" s="80"/>
    </row>
    <row r="218" spans="8:9" ht="26.25" customHeight="1">
      <c r="H218" s="80"/>
      <c r="I218" s="80"/>
    </row>
    <row r="219" spans="8:9" ht="26.25" customHeight="1">
      <c r="H219" s="80"/>
      <c r="I219" s="80"/>
    </row>
    <row r="220" spans="8:9" ht="26.25" customHeight="1">
      <c r="H220" s="80"/>
      <c r="I220" s="80"/>
    </row>
    <row r="221" spans="8:9" ht="26.25" customHeight="1">
      <c r="H221" s="80"/>
      <c r="I221" s="80"/>
    </row>
    <row r="222" spans="8:9" ht="26.25" customHeight="1">
      <c r="H222" s="80"/>
      <c r="I222" s="80"/>
    </row>
    <row r="223" spans="8:9" ht="26.25" customHeight="1">
      <c r="H223" s="80"/>
      <c r="I223" s="80"/>
    </row>
    <row r="224" spans="8:9" ht="26.25" customHeight="1">
      <c r="H224" s="80"/>
      <c r="I224" s="80"/>
    </row>
    <row r="225" spans="8:9" ht="26.25" customHeight="1">
      <c r="H225" s="80"/>
      <c r="I225" s="80"/>
    </row>
    <row r="226" spans="8:9" ht="26.25" customHeight="1">
      <c r="H226" s="80"/>
      <c r="I226" s="80"/>
    </row>
    <row r="227" spans="8:9" ht="26.25" customHeight="1">
      <c r="H227" s="80"/>
      <c r="I227" s="80"/>
    </row>
    <row r="228" spans="8:9" ht="26.25" customHeight="1">
      <c r="H228" s="80"/>
      <c r="I228" s="80"/>
    </row>
    <row r="229" spans="8:9" ht="26.25" customHeight="1">
      <c r="H229" s="80"/>
      <c r="I229" s="80"/>
    </row>
    <row r="230" spans="8:9" ht="26.25" customHeight="1">
      <c r="H230" s="80"/>
      <c r="I230" s="80"/>
    </row>
    <row r="231" spans="8:9" ht="26.25" customHeight="1">
      <c r="H231" s="80"/>
      <c r="I231" s="80"/>
    </row>
    <row r="232" spans="8:9" ht="26.25" customHeight="1">
      <c r="H232" s="80"/>
      <c r="I232" s="80"/>
    </row>
    <row r="233" spans="8:9" ht="26.25" customHeight="1">
      <c r="H233" s="80"/>
      <c r="I233" s="80"/>
    </row>
    <row r="234" spans="8:9" ht="26.25" customHeight="1">
      <c r="H234" s="80"/>
      <c r="I234" s="80"/>
    </row>
    <row r="235" spans="8:9" ht="26.25" customHeight="1">
      <c r="H235" s="80"/>
      <c r="I235" s="80"/>
    </row>
    <row r="236" spans="8:9" ht="26.25" customHeight="1">
      <c r="H236" s="80"/>
      <c r="I236" s="80"/>
    </row>
    <row r="237" spans="8:9" ht="26.25" customHeight="1">
      <c r="H237" s="80"/>
      <c r="I237" s="80"/>
    </row>
    <row r="238" spans="8:9" ht="26.25" customHeight="1">
      <c r="H238" s="80"/>
      <c r="I238" s="80"/>
    </row>
    <row r="239" spans="8:9" ht="26.25" customHeight="1">
      <c r="H239" s="80"/>
      <c r="I239" s="80"/>
    </row>
    <row r="240" spans="8:9" ht="26.25" customHeight="1">
      <c r="H240" s="80"/>
      <c r="I240" s="80"/>
    </row>
    <row r="241" spans="8:9" ht="26.25" customHeight="1">
      <c r="H241" s="80"/>
      <c r="I241" s="80"/>
    </row>
    <row r="242" spans="8:9" ht="26.25" customHeight="1">
      <c r="H242" s="80"/>
      <c r="I242" s="80"/>
    </row>
    <row r="243" spans="8:9" ht="26.25" customHeight="1">
      <c r="H243" s="80"/>
      <c r="I243" s="80"/>
    </row>
    <row r="244" spans="8:9" ht="26.25" customHeight="1">
      <c r="H244" s="80"/>
      <c r="I244" s="80"/>
    </row>
    <row r="245" spans="8:9" ht="26.25" customHeight="1">
      <c r="H245" s="80"/>
      <c r="I245" s="80"/>
    </row>
    <row r="246" spans="8:9" ht="26.25" customHeight="1">
      <c r="H246" s="80"/>
      <c r="I246" s="80"/>
    </row>
    <row r="247" spans="8:9" ht="26.25" customHeight="1">
      <c r="H247" s="80"/>
      <c r="I247" s="80"/>
    </row>
    <row r="248" spans="8:9" ht="26.25" customHeight="1">
      <c r="H248" s="80"/>
      <c r="I248" s="80"/>
    </row>
    <row r="249" spans="8:9" ht="26.25" customHeight="1">
      <c r="H249" s="80"/>
      <c r="I249" s="80"/>
    </row>
    <row r="250" spans="8:9" ht="26.25" customHeight="1">
      <c r="H250" s="80"/>
      <c r="I250" s="80"/>
    </row>
    <row r="251" spans="8:9" ht="26.25" customHeight="1">
      <c r="H251" s="80"/>
      <c r="I251" s="80"/>
    </row>
    <row r="252" spans="8:9" ht="26.25" customHeight="1">
      <c r="H252" s="80"/>
      <c r="I252" s="80"/>
    </row>
    <row r="253" spans="8:9" ht="26.25" customHeight="1">
      <c r="H253" s="80"/>
      <c r="I253" s="80"/>
    </row>
    <row r="254" spans="8:9" ht="26.25" customHeight="1">
      <c r="H254" s="80"/>
      <c r="I254" s="80"/>
    </row>
    <row r="255" spans="8:9" ht="26.25" customHeight="1">
      <c r="H255" s="80"/>
      <c r="I255" s="80"/>
    </row>
    <row r="256" spans="8:9" ht="26.25" customHeight="1">
      <c r="H256" s="80"/>
      <c r="I256" s="80"/>
    </row>
    <row r="257" spans="8:9" ht="26.25" customHeight="1">
      <c r="H257" s="80"/>
      <c r="I257" s="80"/>
    </row>
    <row r="258" spans="8:9" ht="26.25" customHeight="1">
      <c r="H258" s="80"/>
      <c r="I258" s="80"/>
    </row>
    <row r="259" spans="8:9" ht="26.25" customHeight="1">
      <c r="H259" s="80"/>
      <c r="I259" s="80"/>
    </row>
    <row r="260" spans="8:9" ht="26.25" customHeight="1">
      <c r="H260" s="80"/>
      <c r="I260" s="80"/>
    </row>
    <row r="261" spans="8:9" ht="26.25" customHeight="1">
      <c r="H261" s="80"/>
      <c r="I261" s="80"/>
    </row>
    <row r="262" spans="8:9" ht="26.25" customHeight="1">
      <c r="H262" s="80"/>
      <c r="I262" s="80"/>
    </row>
    <row r="263" spans="8:9" ht="26.25" customHeight="1">
      <c r="H263" s="80"/>
      <c r="I263" s="80"/>
    </row>
    <row r="264" spans="8:9" ht="26.25" customHeight="1">
      <c r="H264" s="80"/>
      <c r="I264" s="80"/>
    </row>
    <row r="265" spans="8:9" ht="26.25" customHeight="1">
      <c r="H265" s="80"/>
      <c r="I265" s="80"/>
    </row>
    <row r="266" spans="8:9" ht="26.25" customHeight="1">
      <c r="H266" s="80"/>
      <c r="I266" s="80"/>
    </row>
    <row r="267" spans="8:9" ht="26.25" customHeight="1">
      <c r="H267" s="80"/>
      <c r="I267" s="80"/>
    </row>
    <row r="268" spans="8:9" ht="26.25" customHeight="1">
      <c r="H268" s="80"/>
      <c r="I268" s="80"/>
    </row>
    <row r="269" spans="8:9" ht="26.25" customHeight="1">
      <c r="H269" s="80"/>
      <c r="I269" s="80"/>
    </row>
    <row r="270" spans="8:9" ht="26.25" customHeight="1">
      <c r="H270" s="80"/>
      <c r="I270" s="80"/>
    </row>
    <row r="271" spans="8:9" ht="26.25" customHeight="1">
      <c r="H271" s="80"/>
      <c r="I271" s="80"/>
    </row>
    <row r="272" spans="8:9" ht="26.25" customHeight="1">
      <c r="H272" s="80"/>
      <c r="I272" s="80"/>
    </row>
    <row r="273" spans="8:9" ht="26.25" customHeight="1">
      <c r="H273" s="80"/>
      <c r="I273" s="80"/>
    </row>
    <row r="274" spans="8:9" ht="26.25" customHeight="1">
      <c r="H274" s="80"/>
      <c r="I274" s="80"/>
    </row>
    <row r="275" spans="8:9" ht="26.25" customHeight="1">
      <c r="H275" s="80"/>
      <c r="I275" s="80"/>
    </row>
    <row r="276" spans="8:9" ht="26.25" customHeight="1">
      <c r="H276" s="80"/>
      <c r="I276" s="80"/>
    </row>
    <row r="277" spans="8:9" ht="26.25" customHeight="1">
      <c r="H277" s="80"/>
      <c r="I277" s="80"/>
    </row>
  </sheetData>
  <phoneticPr fontId="56" type="noConversion"/>
  <dataValidations count="30">
    <dataValidation type="textLength" errorStyle="information" allowBlank="1" showInputMessage="1" showErrorMessage="1" error="XLBVal:6=-228530.97_x000d__x000a_" sqref="E86:P86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515_x000d__x000a_" sqref="E73:P73">
      <formula1>0</formula1>
      <formula2>300</formula2>
    </dataValidation>
    <dataValidation type="textLength" errorStyle="information" allowBlank="1" showInputMessage="1" showErrorMessage="1" error="XLBVal:6=737.88_x000d__x000a_" sqref="E71:P71">
      <formula1>0</formula1>
      <formula2>300</formula2>
    </dataValidation>
    <dataValidation type="textLength" errorStyle="information" allowBlank="1" showInputMessage="1" showErrorMessage="1" error="XLBVal:6=1196.58_x000d__x000a_" sqref="E53:P53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6=76.42_x000d__x000a_" sqref="E69:P69">
      <formula1>0</formula1>
      <formula2>300</formula2>
    </dataValidation>
    <dataValidation type="textLength" errorStyle="information" allowBlank="1" showInputMessage="1" showErrorMessage="1" error="XLBVal:2=0_x000d__x000a_" sqref="R12 E110:P111 E70:Q70 Q71 E72:Q72 Q86 R125 E15:E40 F13:F40 Q15:Q69 Q73:Q82 R15:R82 R85:R86 R104:R111 E94:P101 Q90:R91 Q114:R121 E74:P81 E54:P68 G15:P40 E114:P117 R94:R101 E43:P52">
      <formula1>0</formula1>
      <formula2>300</formula2>
    </dataValidation>
    <dataValidation type="textLength" errorStyle="information" allowBlank="1" showInputMessage="1" showErrorMessage="1" error="XLBVal:6=380_x000d__x000a_" sqref="E82:P82">
      <formula1>0</formula1>
      <formula2>300</formula2>
    </dataValidation>
    <dataValidation type="textLength" errorStyle="information" allowBlank="1" showInputMessage="1" showErrorMessage="1" error="XLBVal:6=0_x000d__x000a_" sqref="E83:R83">
      <formula1>0</formula1>
      <formula2>300</formula2>
    </dataValidation>
    <dataValidation type="textLength" errorStyle="information" allowBlank="1" showInputMessage="1" showErrorMessage="1" error="XLBVal:6=3239.86_x000d__x000a_" sqref="E84:R84">
      <formula1>0</formula1>
      <formula2>300</formula2>
    </dataValidation>
    <dataValidation type="textLength" errorStyle="information" allowBlank="1" showInputMessage="1" showErrorMessage="1" error="XLBVal:6=169013_x000d__x000a_" sqref="Q94:Q101">
      <formula1>0</formula1>
      <formula2>300</formula2>
    </dataValidation>
    <dataValidation type="textLength" errorStyle="information" allowBlank="1" showInputMessage="1" showErrorMessage="1" error="XLBVal:6=877418.59_x000d__x000a_" sqref="E85">
      <formula1>0</formula1>
      <formula2>300</formula2>
    </dataValidation>
    <dataValidation type="textLength" errorStyle="information" allowBlank="1" showInputMessage="1" showErrorMessage="1" error="XLBVal:6=206.5_x000d__x000a_" sqref="E41:P42">
      <formula1>0</formula1>
      <formula2>300</formula2>
    </dataValidation>
    <dataValidation type="textLength" errorStyle="information" allowBlank="1" showInputMessage="1" showErrorMessage="1" error="XLBVal:6=900857.82_x000d__x000a_" sqref="F85">
      <formula1>0</formula1>
      <formula2>300</formula2>
    </dataValidation>
    <dataValidation type="textLength" errorStyle="information" allowBlank="1" showInputMessage="1" showErrorMessage="1" error="XLBVal:6=1064596.75_x000d__x000a_" sqref="G85:P85">
      <formula1>0</formula1>
      <formula2>300</formula2>
    </dataValidation>
    <dataValidation type="textLength" errorStyle="information" allowBlank="1" showInputMessage="1" showErrorMessage="1" error="XLBVal:6=12779429.56_x000d__x000a_" sqref="Q85">
      <formula1>0</formula1>
      <formula2>300</formula2>
    </dataValidation>
    <dataValidation type="textLength" errorStyle="information" allowBlank="1" showInputMessage="1" showErrorMessage="1" sqref="F122:R123 E122:E124 H113:I113 F124:I124 H103:I103 E88:E89 F89:I89 F88:P88">
      <formula1>0</formula1>
      <formula2>300</formula2>
    </dataValidation>
    <dataValidation type="textLength" errorStyle="information" allowBlank="1" showInputMessage="1" showErrorMessage="1" error="XLBVal:6=3678_x000d__x000a_" sqref="E112:R112 E113:G113">
      <formula1>0</formula1>
      <formula2>300</formula2>
    </dataValidation>
    <dataValidation type="textLength" errorStyle="information" allowBlank="1" showInputMessage="1" showErrorMessage="1" error="XLBVal:6=29_x000d__x000a_" sqref="E125:Q125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293444_x000d__x000a_" sqref="Q104:Q111">
      <formula1>0</formula1>
      <formula2>300</formula2>
    </dataValidation>
    <dataValidation type="textLength" errorStyle="information" allowBlank="1" showInputMessage="1" showErrorMessage="1" error="XLBVal:6=3021.77_x000d__x000a_" sqref="E104:P109">
      <formula1>0</formula1>
      <formula2>300</formula2>
    </dataValidation>
    <dataValidation type="textLength" errorStyle="information" allowBlank="1" showInputMessage="1" showErrorMessage="1" error="XLBVal:6=43620.26_x000d__x000a_" sqref="E90:P91">
      <formula1>0</formula1>
      <formula2>300</formula2>
    </dataValidation>
    <dataValidation type="textLength" errorStyle="information" allowBlank="1" showInputMessage="1" showErrorMessage="1" error="XLBVal:6=2737.78_x000d__x000a_" sqref="G119:G121 E118:F121 H118:P121">
      <formula1>0</formula1>
      <formula2>300</formula2>
    </dataValidation>
    <dataValidation type="textLength" errorStyle="information" allowBlank="1" showInputMessage="1" showErrorMessage="1" error="XLBVal:6=13973.8_x000d__x000a_" sqref="G118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6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75"/>
  <sheetViews>
    <sheetView zoomScale="55" zoomScaleNormal="55" zoomScaleSheetLayoutView="40" workbookViewId="0">
      <pane xSplit="4" ySplit="10" topLeftCell="E121" activePane="bottomRight" state="frozen"/>
      <selection activeCell="D9" sqref="D9"/>
      <selection pane="topRight" activeCell="D9" sqref="D9"/>
      <selection pane="bottomLeft" activeCell="D9" sqref="D9"/>
      <selection pane="bottomRight" activeCell="E95" sqref="E95:P95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8.90625" style="6" customWidth="1" collapsed="1"/>
    <col min="5" max="5" width="19.453125" style="7" customWidth="1"/>
    <col min="6" max="6" width="21.453125" style="7" customWidth="1"/>
    <col min="7" max="7" width="19.453125" style="7" customWidth="1"/>
    <col min="8" max="8" width="21.453125" style="7" customWidth="1"/>
    <col min="9" max="9" width="19.453125" style="7" customWidth="1"/>
    <col min="10" max="11" width="21.453125" style="139" customWidth="1"/>
    <col min="12" max="12" width="21.453125" style="5" customWidth="1"/>
    <col min="13" max="16" width="20" style="139" customWidth="1"/>
    <col min="17" max="17" width="30.08984375" style="139" customWidth="1"/>
    <col min="18" max="18" width="15" style="139" customWidth="1"/>
    <col min="19" max="19" width="22.453125" style="140" hidden="1" customWidth="1"/>
    <col min="20" max="20" width="22.453125" style="139" hidden="1" customWidth="1"/>
    <col min="21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</row>
    <row r="4" spans="1:20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S4" s="147"/>
    </row>
    <row r="5" spans="1:20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S5" s="147"/>
    </row>
    <row r="6" spans="1:20" s="138" customFormat="1" ht="25.4" customHeight="1">
      <c r="D6" s="10" t="s">
        <v>629</v>
      </c>
      <c r="E6" s="143"/>
      <c r="F6" s="143"/>
      <c r="G6" s="143"/>
      <c r="H6" s="143"/>
      <c r="I6" s="143"/>
      <c r="L6" s="2"/>
      <c r="S6" s="147"/>
    </row>
    <row r="7" spans="1:20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S7" s="147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/>
      <c r="S9" s="148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366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439</v>
      </c>
      <c r="B12" s="3" t="s">
        <v>393</v>
      </c>
      <c r="C12" s="3"/>
      <c r="D12" s="26" t="s">
        <v>440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>
        <v>0</v>
      </c>
      <c r="O12" s="146">
        <v>0</v>
      </c>
      <c r="P12" s="146">
        <v>0</v>
      </c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441</v>
      </c>
      <c r="B13" s="3" t="s">
        <v>393</v>
      </c>
      <c r="C13" s="3"/>
      <c r="D13" s="26" t="s">
        <v>442</v>
      </c>
      <c r="E13" s="63">
        <v>1000</v>
      </c>
      <c r="F13" s="63">
        <v>1000</v>
      </c>
      <c r="G13" s="63">
        <v>1000</v>
      </c>
      <c r="H13" s="63">
        <v>1000</v>
      </c>
      <c r="I13" s="63">
        <v>1000</v>
      </c>
      <c r="J13" s="63">
        <v>1000</v>
      </c>
      <c r="K13" s="63">
        <v>1000</v>
      </c>
      <c r="L13" s="63">
        <v>1000</v>
      </c>
      <c r="M13" s="63">
        <v>1000</v>
      </c>
      <c r="N13" s="63">
        <v>1000</v>
      </c>
      <c r="O13" s="63">
        <v>1000</v>
      </c>
      <c r="P13" s="63">
        <v>1000</v>
      </c>
      <c r="Q13" s="146">
        <f t="shared" ref="Q13:Q16" si="0">SUM(E13:P13)</f>
        <v>12000</v>
      </c>
      <c r="R13" s="134"/>
      <c r="S13" s="148"/>
      <c r="T13" s="40" t="e">
        <f t="shared" ref="T13:T28" si="1">IF(Q13-S13=0,0,(Q13-S13)/S13)</f>
        <v>#DIV/0!</v>
      </c>
    </row>
    <row r="14" spans="1:20" s="77" customFormat="1" ht="25.4" customHeight="1">
      <c r="A14" s="50" t="s">
        <v>443</v>
      </c>
      <c r="B14" s="3" t="s">
        <v>393</v>
      </c>
      <c r="C14" s="3"/>
      <c r="D14" s="26" t="s">
        <v>444</v>
      </c>
      <c r="E14" s="63">
        <v>3300</v>
      </c>
      <c r="F14" s="63">
        <v>3000</v>
      </c>
      <c r="G14" s="63">
        <v>3300</v>
      </c>
      <c r="H14" s="63">
        <v>3150</v>
      </c>
      <c r="I14" s="63">
        <v>3300</v>
      </c>
      <c r="J14" s="63">
        <v>3150</v>
      </c>
      <c r="K14" s="63">
        <v>3300</v>
      </c>
      <c r="L14" s="63">
        <v>3300</v>
      </c>
      <c r="M14" s="63">
        <v>3150</v>
      </c>
      <c r="N14" s="63">
        <v>3300</v>
      </c>
      <c r="O14" s="63">
        <v>3150</v>
      </c>
      <c r="P14" s="63">
        <v>3300</v>
      </c>
      <c r="Q14" s="146">
        <f t="shared" si="0"/>
        <v>38700</v>
      </c>
      <c r="R14" s="134"/>
      <c r="S14" s="148"/>
      <c r="T14" s="40" t="e">
        <f t="shared" si="1"/>
        <v>#DIV/0!</v>
      </c>
    </row>
    <row r="15" spans="1:20" s="77" customFormat="1" ht="25.4" customHeight="1">
      <c r="A15" s="50" t="s">
        <v>445</v>
      </c>
      <c r="B15" s="3" t="s">
        <v>393</v>
      </c>
      <c r="C15" s="3"/>
      <c r="D15" s="26" t="s">
        <v>446</v>
      </c>
      <c r="E15" s="63"/>
      <c r="F15" s="63"/>
      <c r="G15" s="63"/>
      <c r="H15" s="63"/>
      <c r="I15" s="63"/>
      <c r="J15" s="63"/>
      <c r="K15" s="63"/>
      <c r="L15" s="63"/>
      <c r="M15" s="63"/>
      <c r="N15" s="146">
        <v>0</v>
      </c>
      <c r="O15" s="146">
        <v>0</v>
      </c>
      <c r="P15" s="146">
        <v>0</v>
      </c>
      <c r="Q15" s="146">
        <f t="shared" si="0"/>
        <v>0</v>
      </c>
      <c r="R15" s="134"/>
      <c r="S15" s="148"/>
      <c r="T15" s="40">
        <f t="shared" si="1"/>
        <v>0</v>
      </c>
    </row>
    <row r="16" spans="1:20" s="77" customFormat="1" ht="25.4" customHeight="1">
      <c r="A16" s="50" t="s">
        <v>447</v>
      </c>
      <c r="B16" s="3" t="s">
        <v>393</v>
      </c>
      <c r="C16" s="3"/>
      <c r="D16" s="26" t="s">
        <v>448</v>
      </c>
      <c r="E16" s="63"/>
      <c r="F16" s="63"/>
      <c r="G16" s="63"/>
      <c r="H16" s="63"/>
      <c r="I16" s="63"/>
      <c r="J16" s="63"/>
      <c r="K16" s="63"/>
      <c r="L16" s="63"/>
      <c r="M16" s="63"/>
      <c r="N16" s="146">
        <v>0</v>
      </c>
      <c r="O16" s="146">
        <v>0</v>
      </c>
      <c r="P16" s="146">
        <v>0</v>
      </c>
      <c r="Q16" s="146">
        <f t="shared" si="0"/>
        <v>0</v>
      </c>
      <c r="R16" s="134"/>
      <c r="S16" s="148"/>
      <c r="T16" s="40">
        <f t="shared" si="1"/>
        <v>0</v>
      </c>
    </row>
    <row r="17" spans="1:21" s="77" customFormat="1" ht="25.4" customHeight="1">
      <c r="A17" s="3"/>
      <c r="B17" s="3"/>
      <c r="C17" s="3"/>
      <c r="D17" s="21" t="s">
        <v>397</v>
      </c>
      <c r="E17" s="45">
        <f>SUM(E12:E16)</f>
        <v>4300</v>
      </c>
      <c r="F17" s="45">
        <f t="shared" ref="F17:P17" si="2">SUM(F12:F16)</f>
        <v>4000</v>
      </c>
      <c r="G17" s="45">
        <f t="shared" si="2"/>
        <v>4300</v>
      </c>
      <c r="H17" s="45">
        <f t="shared" si="2"/>
        <v>4150</v>
      </c>
      <c r="I17" s="45">
        <f t="shared" si="2"/>
        <v>4300</v>
      </c>
      <c r="J17" s="45">
        <f t="shared" si="2"/>
        <v>4150</v>
      </c>
      <c r="K17" s="45">
        <f t="shared" si="2"/>
        <v>4300</v>
      </c>
      <c r="L17" s="45">
        <f t="shared" si="2"/>
        <v>4300</v>
      </c>
      <c r="M17" s="45">
        <f t="shared" si="2"/>
        <v>4150</v>
      </c>
      <c r="N17" s="45">
        <f t="shared" si="2"/>
        <v>4300</v>
      </c>
      <c r="O17" s="45">
        <f t="shared" si="2"/>
        <v>4150</v>
      </c>
      <c r="P17" s="45">
        <f t="shared" si="2"/>
        <v>4300</v>
      </c>
      <c r="Q17" s="45">
        <f t="shared" ref="Q17" si="3">SUM(Q12:Q16)</f>
        <v>50700</v>
      </c>
      <c r="R17" s="45"/>
      <c r="S17" s="148"/>
      <c r="T17" s="40" t="e">
        <f t="shared" si="1"/>
        <v>#DIV/0!</v>
      </c>
    </row>
    <row r="18" spans="1:21" s="77" customFormat="1" ht="25.4" customHeight="1">
      <c r="A18" s="3"/>
      <c r="B18" s="3"/>
      <c r="C18" s="3"/>
      <c r="D18" s="26"/>
      <c r="E18" s="106"/>
      <c r="F18" s="24"/>
      <c r="G18" s="106"/>
      <c r="H18" s="106"/>
      <c r="I18" s="106"/>
      <c r="J18" s="106"/>
      <c r="K18" s="106"/>
      <c r="L18" s="106"/>
      <c r="S18" s="148"/>
      <c r="T18" s="40"/>
    </row>
    <row r="19" spans="1:21" s="77" customFormat="1" ht="25.4" customHeight="1">
      <c r="A19" s="3"/>
      <c r="B19" s="3"/>
      <c r="C19" s="3"/>
      <c r="D19" s="21" t="s">
        <v>398</v>
      </c>
      <c r="E19" s="106"/>
      <c r="F19" s="63"/>
      <c r="G19" s="63"/>
      <c r="H19" s="63"/>
      <c r="I19" s="63"/>
      <c r="J19" s="63"/>
      <c r="K19" s="63"/>
      <c r="L19" s="63"/>
      <c r="S19" s="148"/>
      <c r="T19" s="40"/>
    </row>
    <row r="20" spans="1:21" s="77" customFormat="1" ht="25.4" customHeight="1">
      <c r="A20" s="50" t="s">
        <v>449</v>
      </c>
      <c r="B20" s="3" t="s">
        <v>393</v>
      </c>
      <c r="C20" s="3"/>
      <c r="D20" s="26" t="s">
        <v>440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134">
        <f>SUM(E20:P20)</f>
        <v>0</v>
      </c>
      <c r="R20" s="134"/>
      <c r="S20" s="148"/>
      <c r="T20" s="40">
        <f>IF(S20&lt;&gt;0,(Q20-S20)/S20,1)</f>
        <v>1</v>
      </c>
    </row>
    <row r="21" spans="1:21" s="77" customFormat="1" ht="25.4" customHeight="1">
      <c r="A21" s="50" t="s">
        <v>450</v>
      </c>
      <c r="B21" s="3" t="s">
        <v>393</v>
      </c>
      <c r="C21" s="3"/>
      <c r="D21" s="26" t="s">
        <v>442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134">
        <f t="shared" ref="Q21:Q24" si="4">SUM(E21:P21)</f>
        <v>0</v>
      </c>
      <c r="R21" s="134"/>
      <c r="S21" s="148"/>
      <c r="T21" s="40">
        <f t="shared" si="1"/>
        <v>0</v>
      </c>
    </row>
    <row r="22" spans="1:21" s="77" customFormat="1" ht="25.4" customHeight="1">
      <c r="A22" s="50" t="s">
        <v>630</v>
      </c>
      <c r="B22" s="3" t="s">
        <v>393</v>
      </c>
      <c r="C22" s="3"/>
      <c r="D22" s="26" t="s">
        <v>444</v>
      </c>
      <c r="E22" s="63">
        <v>651</v>
      </c>
      <c r="F22" s="63">
        <v>588</v>
      </c>
      <c r="G22" s="63">
        <v>651</v>
      </c>
      <c r="H22" s="63">
        <v>630</v>
      </c>
      <c r="I22" s="63">
        <v>651</v>
      </c>
      <c r="J22" s="63">
        <v>630</v>
      </c>
      <c r="K22" s="63">
        <v>651</v>
      </c>
      <c r="L22" s="63">
        <v>651</v>
      </c>
      <c r="M22" s="63">
        <v>630</v>
      </c>
      <c r="N22" s="146">
        <v>651</v>
      </c>
      <c r="O22" s="146">
        <v>630</v>
      </c>
      <c r="P22" s="146">
        <v>651</v>
      </c>
      <c r="Q22" s="134">
        <f t="shared" si="4"/>
        <v>7665</v>
      </c>
      <c r="R22" s="134"/>
      <c r="S22" s="148"/>
      <c r="T22" s="40" t="e">
        <f t="shared" si="1"/>
        <v>#DIV/0!</v>
      </c>
    </row>
    <row r="23" spans="1:21" s="77" customFormat="1" ht="25.4" customHeight="1">
      <c r="A23" s="50" t="s">
        <v>452</v>
      </c>
      <c r="B23" s="3" t="s">
        <v>393</v>
      </c>
      <c r="C23" s="3"/>
      <c r="D23" s="26" t="s">
        <v>446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134">
        <f t="shared" si="4"/>
        <v>0</v>
      </c>
      <c r="R23" s="134"/>
      <c r="S23" s="148"/>
      <c r="T23" s="40">
        <f t="shared" si="1"/>
        <v>0</v>
      </c>
    </row>
    <row r="24" spans="1:21" s="77" customFormat="1" ht="25.4" customHeight="1">
      <c r="A24" s="50" t="s">
        <v>453</v>
      </c>
      <c r="B24" s="3" t="s">
        <v>393</v>
      </c>
      <c r="C24" s="3"/>
      <c r="D24" s="26" t="s">
        <v>448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134">
        <f t="shared" si="4"/>
        <v>0</v>
      </c>
      <c r="R24" s="134"/>
      <c r="S24" s="148"/>
      <c r="T24" s="40">
        <f t="shared" si="1"/>
        <v>0</v>
      </c>
    </row>
    <row r="25" spans="1:21" s="77" customFormat="1" ht="25.4" customHeight="1">
      <c r="A25" s="3"/>
      <c r="B25" s="3"/>
      <c r="C25" s="3"/>
      <c r="D25" s="21" t="s">
        <v>401</v>
      </c>
      <c r="E25" s="45">
        <f>SUM(E20:E24)</f>
        <v>651</v>
      </c>
      <c r="F25" s="45">
        <f t="shared" ref="F25:Q25" si="5">SUM(F20:F24)</f>
        <v>588</v>
      </c>
      <c r="G25" s="45">
        <f t="shared" si="5"/>
        <v>651</v>
      </c>
      <c r="H25" s="45">
        <f t="shared" si="5"/>
        <v>630</v>
      </c>
      <c r="I25" s="45">
        <f t="shared" si="5"/>
        <v>651</v>
      </c>
      <c r="J25" s="45">
        <f t="shared" si="5"/>
        <v>630</v>
      </c>
      <c r="K25" s="45">
        <f t="shared" si="5"/>
        <v>651</v>
      </c>
      <c r="L25" s="45">
        <f t="shared" si="5"/>
        <v>651</v>
      </c>
      <c r="M25" s="45">
        <f t="shared" si="5"/>
        <v>630</v>
      </c>
      <c r="N25" s="45">
        <f t="shared" si="5"/>
        <v>651</v>
      </c>
      <c r="O25" s="45">
        <f t="shared" si="5"/>
        <v>630</v>
      </c>
      <c r="P25" s="45">
        <f t="shared" si="5"/>
        <v>651</v>
      </c>
      <c r="Q25" s="45">
        <f t="shared" si="5"/>
        <v>7665</v>
      </c>
      <c r="R25" s="45"/>
      <c r="S25" s="148"/>
      <c r="T25" s="40" t="e">
        <f t="shared" si="1"/>
        <v>#DIV/0!</v>
      </c>
    </row>
    <row r="26" spans="1:21" s="77" customFormat="1" ht="25.4" customHeight="1">
      <c r="A26" s="50" t="s">
        <v>407</v>
      </c>
      <c r="B26" s="3" t="s">
        <v>393</v>
      </c>
      <c r="C26" s="3"/>
      <c r="D26" s="26" t="s">
        <v>408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27">
        <v>0</v>
      </c>
      <c r="N26" s="27">
        <v>0</v>
      </c>
      <c r="O26" s="27">
        <v>0</v>
      </c>
      <c r="P26" s="27">
        <v>0</v>
      </c>
      <c r="Q26" s="134">
        <f>SUM(E26:P26)</f>
        <v>0</v>
      </c>
      <c r="R26" s="134"/>
      <c r="S26" s="148"/>
      <c r="T26" s="40">
        <f>IF(S26&lt;&gt;0,(Q26-S26)/S26,1)</f>
        <v>1</v>
      </c>
    </row>
    <row r="27" spans="1:21" s="77" customFormat="1" ht="25.4" customHeight="1">
      <c r="A27" s="50" t="s">
        <v>128</v>
      </c>
      <c r="B27" s="3" t="s">
        <v>393</v>
      </c>
      <c r="C27" s="3"/>
      <c r="D27" s="26" t="s">
        <v>409</v>
      </c>
      <c r="E27" s="63">
        <f t="shared" ref="E27:P27" si="6">+(E17+E25)*0.1</f>
        <v>495.1</v>
      </c>
      <c r="F27" s="63">
        <f t="shared" si="6"/>
        <v>458.8</v>
      </c>
      <c r="G27" s="63">
        <f t="shared" si="6"/>
        <v>495.1</v>
      </c>
      <c r="H27" s="63">
        <f t="shared" si="6"/>
        <v>478</v>
      </c>
      <c r="I27" s="63">
        <f t="shared" si="6"/>
        <v>495.1</v>
      </c>
      <c r="J27" s="63">
        <f t="shared" si="6"/>
        <v>478</v>
      </c>
      <c r="K27" s="63">
        <f t="shared" si="6"/>
        <v>495.1</v>
      </c>
      <c r="L27" s="63">
        <f t="shared" si="6"/>
        <v>495.1</v>
      </c>
      <c r="M27" s="63">
        <f t="shared" si="6"/>
        <v>478</v>
      </c>
      <c r="N27" s="63">
        <f t="shared" si="6"/>
        <v>495.1</v>
      </c>
      <c r="O27" s="63">
        <f t="shared" si="6"/>
        <v>478</v>
      </c>
      <c r="P27" s="63">
        <f t="shared" si="6"/>
        <v>495.1</v>
      </c>
      <c r="Q27" s="134">
        <f>SUM(E27:P27)</f>
        <v>5836.5</v>
      </c>
      <c r="R27" s="134"/>
      <c r="S27" s="148"/>
      <c r="T27" s="40" t="e">
        <f t="shared" si="1"/>
        <v>#DIV/0!</v>
      </c>
    </row>
    <row r="28" spans="1:21" s="77" customFormat="1" ht="25.4" customHeight="1">
      <c r="A28" s="50"/>
      <c r="B28" s="3"/>
      <c r="C28" s="3"/>
      <c r="D28" s="21" t="s">
        <v>410</v>
      </c>
      <c r="E28" s="45">
        <f>E17+E25+E26+E27</f>
        <v>5446.1</v>
      </c>
      <c r="F28" s="45">
        <f t="shared" ref="F28:Q28" si="7">F17+F25+F26+F27</f>
        <v>5046.8</v>
      </c>
      <c r="G28" s="45">
        <f t="shared" si="7"/>
        <v>5446.1</v>
      </c>
      <c r="H28" s="45">
        <f t="shared" si="7"/>
        <v>5258</v>
      </c>
      <c r="I28" s="45">
        <f t="shared" si="7"/>
        <v>5446.1</v>
      </c>
      <c r="J28" s="45">
        <f t="shared" si="7"/>
        <v>5258</v>
      </c>
      <c r="K28" s="45">
        <f t="shared" si="7"/>
        <v>5446.1</v>
      </c>
      <c r="L28" s="45">
        <f t="shared" si="7"/>
        <v>5446.1</v>
      </c>
      <c r="M28" s="45">
        <f t="shared" si="7"/>
        <v>5258</v>
      </c>
      <c r="N28" s="45">
        <f t="shared" si="7"/>
        <v>5446.1</v>
      </c>
      <c r="O28" s="45">
        <f t="shared" si="7"/>
        <v>5258</v>
      </c>
      <c r="P28" s="45">
        <f t="shared" si="7"/>
        <v>5446.1</v>
      </c>
      <c r="Q28" s="318">
        <f t="shared" si="7"/>
        <v>64201.5</v>
      </c>
      <c r="R28" s="45"/>
      <c r="S28" s="148"/>
      <c r="T28" s="40" t="e">
        <f t="shared" si="1"/>
        <v>#DIV/0!</v>
      </c>
    </row>
    <row r="29" spans="1:21" s="77" customFormat="1" ht="25.4" customHeight="1">
      <c r="A29" s="50"/>
      <c r="B29" s="3"/>
      <c r="C29" s="3"/>
      <c r="D29" s="26"/>
      <c r="E29" s="63"/>
      <c r="F29" s="63"/>
      <c r="G29" s="63"/>
      <c r="H29" s="63"/>
      <c r="I29" s="63"/>
      <c r="J29" s="63"/>
      <c r="K29" s="63"/>
      <c r="L29" s="63"/>
      <c r="S29" s="148"/>
      <c r="T29" s="40"/>
    </row>
    <row r="30" spans="1:21" s="77" customFormat="1" ht="25.4" customHeight="1">
      <c r="A30" s="50"/>
      <c r="B30" s="3"/>
      <c r="C30" s="3"/>
      <c r="D30" s="21" t="s">
        <v>411</v>
      </c>
      <c r="E30" s="63"/>
      <c r="F30" s="63"/>
      <c r="G30" s="63"/>
      <c r="H30" s="63"/>
      <c r="I30" s="63"/>
      <c r="J30" s="63"/>
      <c r="K30" s="63"/>
      <c r="L30" s="63"/>
      <c r="S30" s="148"/>
      <c r="T30" s="40"/>
    </row>
    <row r="31" spans="1:21" s="77" customFormat="1" ht="25.4" customHeight="1">
      <c r="A31" s="3" t="s">
        <v>412</v>
      </c>
      <c r="B31" s="3" t="s">
        <v>393</v>
      </c>
      <c r="C31" s="3"/>
      <c r="D31" s="26" t="s">
        <v>413</v>
      </c>
      <c r="E31" s="63">
        <f>E17*28%</f>
        <v>1204.0000000000002</v>
      </c>
      <c r="F31" s="63">
        <f>F17*29.99%</f>
        <v>1199.5999999999999</v>
      </c>
      <c r="G31" s="63">
        <f>G17*29%</f>
        <v>1247</v>
      </c>
      <c r="H31" s="63">
        <f>H17*28%</f>
        <v>1162</v>
      </c>
      <c r="I31" s="63">
        <f t="shared" ref="I31:J31" si="8">I17*28%</f>
        <v>1204.0000000000002</v>
      </c>
      <c r="J31" s="63">
        <f t="shared" si="8"/>
        <v>1162</v>
      </c>
      <c r="K31" s="63">
        <f>K17*31%</f>
        <v>1333</v>
      </c>
      <c r="L31" s="63">
        <f>L17*27.95%</f>
        <v>1201.8499999999999</v>
      </c>
      <c r="M31" s="63">
        <f>M17*32.93%</f>
        <v>1366.595</v>
      </c>
      <c r="N31" s="63">
        <f>N17*27.08%</f>
        <v>1164.4399999999998</v>
      </c>
      <c r="O31" s="63">
        <f>O17*27.89%</f>
        <v>1157.4349999999999</v>
      </c>
      <c r="P31" s="63">
        <f>P17*28.5%</f>
        <v>1225.5</v>
      </c>
      <c r="Q31" s="134">
        <f>SUM(E31:P31)</f>
        <v>14627.42</v>
      </c>
      <c r="R31" s="159">
        <f>Q31/Q17</f>
        <v>0.28850927021696254</v>
      </c>
      <c r="S31" s="148"/>
      <c r="T31" s="40" t="e">
        <f>-IF(Q31-S31=0,0,(Q31-S31)/S31)</f>
        <v>#DIV/0!</v>
      </c>
      <c r="U31" s="319"/>
    </row>
    <row r="32" spans="1:21" s="77" customFormat="1" ht="25.4" customHeight="1">
      <c r="A32" s="3" t="s">
        <v>414</v>
      </c>
      <c r="B32" s="3" t="s">
        <v>393</v>
      </c>
      <c r="C32" s="3"/>
      <c r="D32" s="26" t="s">
        <v>415</v>
      </c>
      <c r="E32" s="63">
        <f>E25*21%</f>
        <v>136.71</v>
      </c>
      <c r="F32" s="63">
        <f>F25*20.5%</f>
        <v>120.53999999999999</v>
      </c>
      <c r="G32" s="63">
        <f>G25*21.5%</f>
        <v>139.965</v>
      </c>
      <c r="H32" s="63">
        <f>H25*20.5%</f>
        <v>129.15</v>
      </c>
      <c r="I32" s="63">
        <f>I25*21%</f>
        <v>136.71</v>
      </c>
      <c r="J32" s="63">
        <f>J25*20.5%</f>
        <v>129.15</v>
      </c>
      <c r="K32" s="63">
        <f>K25*20.5%</f>
        <v>133.45499999999998</v>
      </c>
      <c r="L32" s="63">
        <f t="shared" ref="L32:M32" si="9">L25*20.5%</f>
        <v>133.45499999999998</v>
      </c>
      <c r="M32" s="63">
        <f t="shared" si="9"/>
        <v>129.15</v>
      </c>
      <c r="N32" s="63">
        <f>N25*21.5%</f>
        <v>139.965</v>
      </c>
      <c r="O32" s="63">
        <f t="shared" ref="O32:P32" si="10">O25*21.5%</f>
        <v>135.44999999999999</v>
      </c>
      <c r="P32" s="63">
        <f t="shared" si="10"/>
        <v>139.965</v>
      </c>
      <c r="Q32" s="134">
        <f t="shared" ref="Q32:Q33" si="11">SUM(E32:P32)</f>
        <v>1603.665</v>
      </c>
      <c r="R32" s="159">
        <f>Q32/Q25</f>
        <v>0.20921917808219179</v>
      </c>
      <c r="S32" s="148"/>
      <c r="T32" s="40" t="e">
        <f t="shared" ref="T32:T95" si="12">-IF(Q32-S32=0,0,(Q32-S32)/S32)</f>
        <v>#DIV/0!</v>
      </c>
      <c r="U32" s="319"/>
    </row>
    <row r="33" spans="1:20" s="77" customFormat="1" ht="25.4" customHeight="1">
      <c r="A33" s="3" t="s">
        <v>454</v>
      </c>
      <c r="B33" s="3" t="s">
        <v>393</v>
      </c>
      <c r="C33" s="3"/>
      <c r="D33" s="26" t="s">
        <v>419</v>
      </c>
      <c r="E33" s="63"/>
      <c r="F33" s="63"/>
      <c r="G33" s="63"/>
      <c r="H33" s="63"/>
      <c r="I33" s="63"/>
      <c r="J33" s="63"/>
      <c r="K33" s="63"/>
      <c r="L33" s="63"/>
      <c r="M33" s="27">
        <v>0</v>
      </c>
      <c r="N33" s="27">
        <v>0</v>
      </c>
      <c r="O33" s="27">
        <v>0</v>
      </c>
      <c r="P33" s="27">
        <v>0</v>
      </c>
      <c r="Q33" s="134">
        <f t="shared" si="11"/>
        <v>0</v>
      </c>
      <c r="R33" s="165"/>
      <c r="S33" s="148"/>
      <c r="T33" s="40">
        <f t="shared" si="12"/>
        <v>0</v>
      </c>
    </row>
    <row r="34" spans="1:20" s="77" customFormat="1" ht="25.4" customHeight="1">
      <c r="A34" s="3"/>
      <c r="B34" s="3"/>
      <c r="C34" s="3"/>
      <c r="D34" s="21" t="s">
        <v>420</v>
      </c>
      <c r="E34" s="45">
        <f>+SUM(E31:E33)</f>
        <v>1340.7100000000003</v>
      </c>
      <c r="F34" s="45">
        <f t="shared" ref="F34:P34" si="13">+SUM(F31:F33)</f>
        <v>1320.1399999999999</v>
      </c>
      <c r="G34" s="45">
        <f t="shared" si="13"/>
        <v>1386.9649999999999</v>
      </c>
      <c r="H34" s="45">
        <f t="shared" si="13"/>
        <v>1291.1500000000001</v>
      </c>
      <c r="I34" s="45">
        <f t="shared" si="13"/>
        <v>1340.7100000000003</v>
      </c>
      <c r="J34" s="45">
        <f t="shared" si="13"/>
        <v>1291.1500000000001</v>
      </c>
      <c r="K34" s="45">
        <f t="shared" si="13"/>
        <v>1466.4549999999999</v>
      </c>
      <c r="L34" s="45">
        <f t="shared" si="13"/>
        <v>1335.3049999999998</v>
      </c>
      <c r="M34" s="45">
        <f t="shared" si="13"/>
        <v>1495.7450000000001</v>
      </c>
      <c r="N34" s="45">
        <f t="shared" si="13"/>
        <v>1304.4049999999997</v>
      </c>
      <c r="O34" s="45">
        <f t="shared" si="13"/>
        <v>1292.885</v>
      </c>
      <c r="P34" s="45">
        <f t="shared" si="13"/>
        <v>1365.4649999999999</v>
      </c>
      <c r="Q34" s="45">
        <f>SUM(Q31:Q33)</f>
        <v>16231.084999999999</v>
      </c>
      <c r="R34" s="149">
        <f>Q34/$Q$28</f>
        <v>0.25281473174302782</v>
      </c>
      <c r="S34" s="148"/>
      <c r="T34" s="40" t="e">
        <f t="shared" si="12"/>
        <v>#DIV/0!</v>
      </c>
    </row>
    <row r="35" spans="1:20" s="77" customFormat="1" ht="25.4" customHeight="1">
      <c r="A35" s="3"/>
      <c r="B35" s="3"/>
      <c r="C35" s="3"/>
      <c r="D35" s="26"/>
      <c r="E35" s="63"/>
      <c r="F35" s="63"/>
      <c r="G35" s="63"/>
      <c r="H35" s="63"/>
      <c r="I35" s="63"/>
      <c r="J35" s="63"/>
      <c r="K35" s="63"/>
      <c r="L35" s="63"/>
      <c r="Q35" s="150"/>
      <c r="R35" s="165"/>
      <c r="S35" s="148"/>
      <c r="T35" s="40"/>
    </row>
    <row r="36" spans="1:20" s="77" customFormat="1" ht="25.4" customHeight="1">
      <c r="A36" s="3" t="s">
        <v>106</v>
      </c>
      <c r="B36" s="3" t="s">
        <v>393</v>
      </c>
      <c r="C36" s="3"/>
      <c r="D36" s="21" t="s">
        <v>139</v>
      </c>
      <c r="E36" s="45">
        <f>+E163</f>
        <v>27770.989999999998</v>
      </c>
      <c r="F36" s="45">
        <f t="shared" ref="F36:P36" si="14">+F163</f>
        <v>23774.71</v>
      </c>
      <c r="G36" s="45">
        <f t="shared" si="14"/>
        <v>23669.949999999997</v>
      </c>
      <c r="H36" s="45">
        <f t="shared" si="14"/>
        <v>24879.66</v>
      </c>
      <c r="I36" s="45">
        <f t="shared" si="14"/>
        <v>25589.19</v>
      </c>
      <c r="J36" s="45">
        <f t="shared" si="14"/>
        <v>23521.119999999999</v>
      </c>
      <c r="K36" s="45">
        <f t="shared" si="14"/>
        <v>23478.579999999998</v>
      </c>
      <c r="L36" s="45">
        <f t="shared" si="14"/>
        <v>23483.949999999997</v>
      </c>
      <c r="M36" s="45">
        <f t="shared" si="14"/>
        <v>23488.66</v>
      </c>
      <c r="N36" s="45">
        <f t="shared" si="14"/>
        <v>27503.449999999997</v>
      </c>
      <c r="O36" s="45">
        <f t="shared" si="14"/>
        <v>23463.52</v>
      </c>
      <c r="P36" s="45">
        <f t="shared" si="14"/>
        <v>23450.53</v>
      </c>
      <c r="Q36" s="45">
        <f>SUM(E36:P36)</f>
        <v>294074.30999999994</v>
      </c>
      <c r="R36" s="149">
        <f>Q36/$Q$28</f>
        <v>4.5804897081843876</v>
      </c>
      <c r="S36" s="148"/>
      <c r="T36" s="40"/>
    </row>
    <row r="37" spans="1:20" s="77" customFormat="1" ht="25.4" customHeight="1">
      <c r="A37" s="3"/>
      <c r="B37" s="3"/>
      <c r="C37" s="3"/>
      <c r="D37" s="26"/>
      <c r="E37" s="63"/>
      <c r="F37" s="63"/>
      <c r="G37" s="63"/>
      <c r="H37" s="63"/>
      <c r="I37" s="63"/>
      <c r="J37" s="63"/>
      <c r="K37" s="63"/>
      <c r="L37" s="63"/>
      <c r="R37" s="34"/>
      <c r="S37" s="148"/>
      <c r="T37" s="40"/>
    </row>
    <row r="38" spans="1:20" s="77" customFormat="1" ht="25.4" customHeight="1">
      <c r="A38" s="3"/>
      <c r="B38" s="3"/>
      <c r="C38" s="3"/>
      <c r="D38" s="21" t="s">
        <v>140</v>
      </c>
      <c r="E38" s="63"/>
      <c r="F38" s="63"/>
      <c r="G38" s="63"/>
      <c r="H38" s="63"/>
      <c r="I38" s="63"/>
      <c r="J38" s="63"/>
      <c r="K38" s="63"/>
      <c r="L38" s="63"/>
      <c r="M38" s="3"/>
      <c r="N38" s="3"/>
      <c r="O38" s="3"/>
      <c r="P38" s="3"/>
      <c r="R38" s="34" t="s">
        <v>421</v>
      </c>
      <c r="S38" s="148"/>
      <c r="T38" s="40"/>
    </row>
    <row r="39" spans="1:20" s="77" customFormat="1" ht="25.4" hidden="1" customHeight="1">
      <c r="A39" s="3" t="s">
        <v>142</v>
      </c>
      <c r="B39" s="3" t="s">
        <v>393</v>
      </c>
      <c r="C39" s="3"/>
      <c r="D39" s="26" t="s">
        <v>143</v>
      </c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134">
        <f>SUM(E39:P39)</f>
        <v>0</v>
      </c>
      <c r="R39" s="134">
        <f t="shared" ref="R39:R70" si="15">Q39/$Q$117</f>
        <v>0</v>
      </c>
      <c r="S39" s="148"/>
      <c r="T39" s="40">
        <f t="shared" si="12"/>
        <v>0</v>
      </c>
    </row>
    <row r="40" spans="1:20" s="77" customFormat="1" ht="25.4" hidden="1" customHeight="1">
      <c r="A40" s="3" t="s">
        <v>144</v>
      </c>
      <c r="B40" s="3" t="s">
        <v>393</v>
      </c>
      <c r="C40" s="3"/>
      <c r="D40" s="26" t="s">
        <v>145</v>
      </c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134">
        <f t="shared" ref="Q40:Q103" si="16">SUM(E40:P40)</f>
        <v>0</v>
      </c>
      <c r="R40" s="134">
        <f t="shared" si="15"/>
        <v>0</v>
      </c>
      <c r="S40" s="148"/>
      <c r="T40" s="40">
        <f t="shared" si="12"/>
        <v>0</v>
      </c>
    </row>
    <row r="41" spans="1:20" s="77" customFormat="1" ht="25.4" hidden="1" customHeight="1">
      <c r="A41" s="3" t="s">
        <v>146</v>
      </c>
      <c r="B41" s="3" t="s">
        <v>393</v>
      </c>
      <c r="C41" s="3"/>
      <c r="D41" s="26" t="s">
        <v>147</v>
      </c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134">
        <f t="shared" si="16"/>
        <v>0</v>
      </c>
      <c r="R41" s="134">
        <f t="shared" si="15"/>
        <v>0</v>
      </c>
      <c r="S41" s="148"/>
      <c r="T41" s="40">
        <f t="shared" si="12"/>
        <v>0</v>
      </c>
    </row>
    <row r="42" spans="1:20" s="77" customFormat="1" ht="25.4" hidden="1" customHeight="1">
      <c r="A42" s="3" t="s">
        <v>148</v>
      </c>
      <c r="B42" s="3" t="s">
        <v>393</v>
      </c>
      <c r="C42" s="3"/>
      <c r="D42" s="26" t="s">
        <v>149</v>
      </c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134">
        <f t="shared" si="16"/>
        <v>0</v>
      </c>
      <c r="R42" s="134">
        <f t="shared" si="15"/>
        <v>0</v>
      </c>
      <c r="S42" s="148"/>
      <c r="T42" s="40">
        <f t="shared" si="12"/>
        <v>0</v>
      </c>
    </row>
    <row r="43" spans="1:20" s="77" customFormat="1" ht="25.4" hidden="1" customHeight="1">
      <c r="A43" s="3" t="s">
        <v>150</v>
      </c>
      <c r="B43" s="3" t="s">
        <v>393</v>
      </c>
      <c r="C43" s="3"/>
      <c r="D43" s="26" t="s">
        <v>151</v>
      </c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134">
        <f t="shared" si="16"/>
        <v>0</v>
      </c>
      <c r="R43" s="134">
        <f t="shared" si="15"/>
        <v>0</v>
      </c>
      <c r="S43" s="148"/>
      <c r="T43" s="40">
        <f t="shared" si="12"/>
        <v>0</v>
      </c>
    </row>
    <row r="44" spans="1:20" s="77" customFormat="1" ht="25.4" hidden="1" customHeight="1">
      <c r="A44" s="3" t="s">
        <v>152</v>
      </c>
      <c r="B44" s="3" t="s">
        <v>393</v>
      </c>
      <c r="C44" s="3"/>
      <c r="D44" s="26" t="s">
        <v>153</v>
      </c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134">
        <f t="shared" si="16"/>
        <v>0</v>
      </c>
      <c r="R44" s="134">
        <f t="shared" si="15"/>
        <v>0</v>
      </c>
      <c r="S44" s="148"/>
      <c r="T44" s="40">
        <f t="shared" si="12"/>
        <v>0</v>
      </c>
    </row>
    <row r="45" spans="1:20" s="77" customFormat="1" ht="25.4" hidden="1" customHeight="1">
      <c r="A45" s="3" t="s">
        <v>154</v>
      </c>
      <c r="B45" s="3" t="s">
        <v>393</v>
      </c>
      <c r="C45" s="3"/>
      <c r="D45" s="26" t="s">
        <v>155</v>
      </c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134">
        <f t="shared" si="16"/>
        <v>0</v>
      </c>
      <c r="R45" s="134">
        <f t="shared" si="15"/>
        <v>0</v>
      </c>
      <c r="S45" s="148"/>
      <c r="T45" s="40">
        <f t="shared" si="12"/>
        <v>0</v>
      </c>
    </row>
    <row r="46" spans="1:20" s="77" customFormat="1" ht="25.4" hidden="1" customHeight="1">
      <c r="A46" s="3" t="s">
        <v>156</v>
      </c>
      <c r="B46" s="3" t="s">
        <v>393</v>
      </c>
      <c r="C46" s="3"/>
      <c r="D46" s="26" t="s">
        <v>157</v>
      </c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134">
        <f t="shared" si="16"/>
        <v>0</v>
      </c>
      <c r="R46" s="134">
        <f t="shared" si="15"/>
        <v>0</v>
      </c>
      <c r="S46" s="148"/>
      <c r="T46" s="40">
        <f t="shared" si="12"/>
        <v>0</v>
      </c>
    </row>
    <row r="47" spans="1:20" s="77" customFormat="1" ht="25.4" hidden="1" customHeight="1">
      <c r="A47" s="3" t="s">
        <v>158</v>
      </c>
      <c r="B47" s="3" t="s">
        <v>393</v>
      </c>
      <c r="C47" s="3"/>
      <c r="D47" s="26" t="s">
        <v>159</v>
      </c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134">
        <f t="shared" si="16"/>
        <v>0</v>
      </c>
      <c r="R47" s="134">
        <f t="shared" si="15"/>
        <v>0</v>
      </c>
      <c r="S47" s="148"/>
      <c r="T47" s="40">
        <f t="shared" si="12"/>
        <v>0</v>
      </c>
    </row>
    <row r="48" spans="1:20" s="77" customFormat="1" ht="25.4" hidden="1" customHeight="1">
      <c r="A48" s="3" t="s">
        <v>160</v>
      </c>
      <c r="B48" s="3" t="s">
        <v>393</v>
      </c>
      <c r="C48" s="3"/>
      <c r="D48" s="26" t="s">
        <v>161</v>
      </c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134">
        <f t="shared" si="16"/>
        <v>0</v>
      </c>
      <c r="R48" s="134">
        <f t="shared" si="15"/>
        <v>0</v>
      </c>
      <c r="S48" s="148"/>
      <c r="T48" s="40">
        <f t="shared" si="12"/>
        <v>0</v>
      </c>
    </row>
    <row r="49" spans="1:20" s="77" customFormat="1" ht="25.4" hidden="1" customHeight="1">
      <c r="A49" s="3" t="s">
        <v>162</v>
      </c>
      <c r="B49" s="3" t="s">
        <v>393</v>
      </c>
      <c r="C49" s="3"/>
      <c r="D49" s="26" t="s">
        <v>163</v>
      </c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134">
        <f t="shared" si="16"/>
        <v>0</v>
      </c>
      <c r="R49" s="134">
        <f t="shared" si="15"/>
        <v>0</v>
      </c>
      <c r="S49" s="148"/>
      <c r="T49" s="40">
        <f t="shared" si="12"/>
        <v>0</v>
      </c>
    </row>
    <row r="50" spans="1:20" s="77" customFormat="1" ht="25.4" hidden="1" customHeight="1">
      <c r="A50" s="3" t="s">
        <v>164</v>
      </c>
      <c r="B50" s="3" t="s">
        <v>393</v>
      </c>
      <c r="C50" s="3"/>
      <c r="D50" s="26" t="s">
        <v>165</v>
      </c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134">
        <f t="shared" si="16"/>
        <v>0</v>
      </c>
      <c r="R50" s="134">
        <f t="shared" si="15"/>
        <v>0</v>
      </c>
      <c r="S50" s="148"/>
      <c r="T50" s="40">
        <f t="shared" si="12"/>
        <v>0</v>
      </c>
    </row>
    <row r="51" spans="1:20" s="77" customFormat="1" ht="25.4" hidden="1" customHeight="1">
      <c r="A51" s="3" t="s">
        <v>166</v>
      </c>
      <c r="B51" s="3" t="s">
        <v>393</v>
      </c>
      <c r="C51" s="3"/>
      <c r="D51" s="26" t="s">
        <v>167</v>
      </c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134">
        <f t="shared" si="16"/>
        <v>0</v>
      </c>
      <c r="R51" s="134">
        <f t="shared" si="15"/>
        <v>0</v>
      </c>
      <c r="S51" s="148"/>
      <c r="T51" s="40">
        <f t="shared" si="12"/>
        <v>0</v>
      </c>
    </row>
    <row r="52" spans="1:20" s="77" customFormat="1" ht="25.4" hidden="1" customHeight="1">
      <c r="A52" s="3" t="s">
        <v>168</v>
      </c>
      <c r="B52" s="3" t="s">
        <v>393</v>
      </c>
      <c r="C52" s="3"/>
      <c r="D52" s="26" t="s">
        <v>169</v>
      </c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134">
        <f t="shared" si="16"/>
        <v>0</v>
      </c>
      <c r="R52" s="134">
        <f t="shared" si="15"/>
        <v>0</v>
      </c>
      <c r="S52" s="148"/>
      <c r="T52" s="40">
        <f t="shared" si="12"/>
        <v>0</v>
      </c>
    </row>
    <row r="53" spans="1:20" s="77" customFormat="1" ht="25.4" hidden="1" customHeight="1">
      <c r="A53" s="3" t="s">
        <v>170</v>
      </c>
      <c r="B53" s="3" t="s">
        <v>393</v>
      </c>
      <c r="C53" s="3"/>
      <c r="D53" s="26" t="s">
        <v>171</v>
      </c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134">
        <f t="shared" si="16"/>
        <v>0</v>
      </c>
      <c r="R53" s="134">
        <f t="shared" si="15"/>
        <v>0</v>
      </c>
      <c r="S53" s="148"/>
      <c r="T53" s="40">
        <f t="shared" si="12"/>
        <v>0</v>
      </c>
    </row>
    <row r="54" spans="1:20" s="77" customFormat="1" ht="25.4" hidden="1" customHeight="1">
      <c r="A54" s="3" t="s">
        <v>172</v>
      </c>
      <c r="B54" s="3" t="s">
        <v>393</v>
      </c>
      <c r="C54" s="3"/>
      <c r="D54" s="26" t="s">
        <v>173</v>
      </c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134">
        <f t="shared" si="16"/>
        <v>0</v>
      </c>
      <c r="R54" s="134">
        <f t="shared" si="15"/>
        <v>0</v>
      </c>
      <c r="S54" s="148"/>
      <c r="T54" s="40">
        <f t="shared" si="12"/>
        <v>0</v>
      </c>
    </row>
    <row r="55" spans="1:20" s="77" customFormat="1" ht="25.4" hidden="1" customHeight="1">
      <c r="A55" s="3" t="s">
        <v>174</v>
      </c>
      <c r="B55" s="3" t="s">
        <v>393</v>
      </c>
      <c r="C55" s="3"/>
      <c r="D55" s="26" t="s">
        <v>175</v>
      </c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134">
        <f t="shared" si="16"/>
        <v>0</v>
      </c>
      <c r="R55" s="134">
        <f t="shared" si="15"/>
        <v>0</v>
      </c>
      <c r="S55" s="148"/>
      <c r="T55" s="40">
        <f t="shared" si="12"/>
        <v>0</v>
      </c>
    </row>
    <row r="56" spans="1:20" s="77" customFormat="1" ht="25.4" hidden="1" customHeight="1">
      <c r="A56" s="3" t="s">
        <v>176</v>
      </c>
      <c r="B56" s="3" t="s">
        <v>393</v>
      </c>
      <c r="C56" s="3"/>
      <c r="D56" s="26" t="s">
        <v>177</v>
      </c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134">
        <f t="shared" si="16"/>
        <v>0</v>
      </c>
      <c r="R56" s="134">
        <f t="shared" si="15"/>
        <v>0</v>
      </c>
      <c r="S56" s="148"/>
      <c r="T56" s="40">
        <f t="shared" si="12"/>
        <v>0</v>
      </c>
    </row>
    <row r="57" spans="1:20" s="77" customFormat="1" ht="25.4" hidden="1" customHeight="1">
      <c r="A57" s="3" t="s">
        <v>178</v>
      </c>
      <c r="B57" s="3" t="s">
        <v>393</v>
      </c>
      <c r="C57" s="3"/>
      <c r="D57" s="26" t="s">
        <v>179</v>
      </c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134">
        <f t="shared" si="16"/>
        <v>0</v>
      </c>
      <c r="R57" s="134">
        <f t="shared" si="15"/>
        <v>0</v>
      </c>
      <c r="S57" s="148"/>
      <c r="T57" s="40">
        <f t="shared" si="12"/>
        <v>0</v>
      </c>
    </row>
    <row r="58" spans="1:20" s="77" customFormat="1" ht="25.4" hidden="1" customHeight="1">
      <c r="A58" s="3" t="s">
        <v>180</v>
      </c>
      <c r="B58" s="3" t="s">
        <v>393</v>
      </c>
      <c r="C58" s="3"/>
      <c r="D58" s="26" t="s">
        <v>181</v>
      </c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134">
        <f t="shared" si="16"/>
        <v>0</v>
      </c>
      <c r="R58" s="134">
        <f t="shared" si="15"/>
        <v>0</v>
      </c>
      <c r="S58" s="148"/>
      <c r="T58" s="40">
        <f t="shared" si="12"/>
        <v>0</v>
      </c>
    </row>
    <row r="59" spans="1:20" s="77" customFormat="1" ht="25.4" hidden="1" customHeight="1">
      <c r="A59" s="3" t="s">
        <v>182</v>
      </c>
      <c r="B59" s="3" t="s">
        <v>393</v>
      </c>
      <c r="C59" s="3"/>
      <c r="D59" s="26" t="s">
        <v>183</v>
      </c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134">
        <f t="shared" si="16"/>
        <v>0</v>
      </c>
      <c r="R59" s="134">
        <f t="shared" si="15"/>
        <v>0</v>
      </c>
      <c r="S59" s="148"/>
      <c r="T59" s="40">
        <f t="shared" si="12"/>
        <v>0</v>
      </c>
    </row>
    <row r="60" spans="1:20" s="77" customFormat="1" ht="25.4" hidden="1" customHeight="1">
      <c r="A60" s="3" t="s">
        <v>184</v>
      </c>
      <c r="B60" s="3" t="s">
        <v>393</v>
      </c>
      <c r="C60" s="3"/>
      <c r="D60" s="26" t="s">
        <v>185</v>
      </c>
      <c r="E60" s="386"/>
      <c r="F60" s="386"/>
      <c r="G60" s="386"/>
      <c r="H60" s="386"/>
      <c r="I60" s="386"/>
      <c r="J60" s="386"/>
      <c r="K60" s="386"/>
      <c r="L60" s="386"/>
      <c r="M60" s="386"/>
      <c r="N60" s="386"/>
      <c r="O60" s="386"/>
      <c r="P60" s="386"/>
      <c r="Q60" s="134">
        <f t="shared" si="16"/>
        <v>0</v>
      </c>
      <c r="R60" s="134">
        <f t="shared" si="15"/>
        <v>0</v>
      </c>
      <c r="S60" s="148"/>
      <c r="T60" s="40">
        <f t="shared" si="12"/>
        <v>0</v>
      </c>
    </row>
    <row r="61" spans="1:20" s="77" customFormat="1" ht="25.4" hidden="1" customHeight="1">
      <c r="A61" s="3" t="s">
        <v>186</v>
      </c>
      <c r="B61" s="3" t="s">
        <v>393</v>
      </c>
      <c r="C61" s="3"/>
      <c r="D61" s="26" t="s">
        <v>187</v>
      </c>
      <c r="E61" s="386"/>
      <c r="F61" s="386"/>
      <c r="G61" s="386"/>
      <c r="H61" s="386"/>
      <c r="I61" s="386"/>
      <c r="J61" s="386"/>
      <c r="K61" s="386"/>
      <c r="L61" s="386"/>
      <c r="M61" s="386"/>
      <c r="N61" s="386"/>
      <c r="O61" s="386"/>
      <c r="P61" s="386"/>
      <c r="Q61" s="134">
        <f t="shared" si="16"/>
        <v>0</v>
      </c>
      <c r="R61" s="134">
        <f t="shared" si="15"/>
        <v>0</v>
      </c>
      <c r="S61" s="148"/>
      <c r="T61" s="40">
        <f t="shared" si="12"/>
        <v>0</v>
      </c>
    </row>
    <row r="62" spans="1:20" s="77" customFormat="1" ht="25.4" hidden="1" customHeight="1">
      <c r="A62" s="3" t="s">
        <v>188</v>
      </c>
      <c r="B62" s="3" t="s">
        <v>393</v>
      </c>
      <c r="C62" s="3"/>
      <c r="D62" s="26" t="s">
        <v>189</v>
      </c>
      <c r="E62" s="386"/>
      <c r="F62" s="386"/>
      <c r="G62" s="386"/>
      <c r="H62" s="386"/>
      <c r="I62" s="386"/>
      <c r="J62" s="386"/>
      <c r="K62" s="386"/>
      <c r="L62" s="386"/>
      <c r="M62" s="386"/>
      <c r="N62" s="386"/>
      <c r="O62" s="386"/>
      <c r="P62" s="386"/>
      <c r="Q62" s="134">
        <f t="shared" si="16"/>
        <v>0</v>
      </c>
      <c r="R62" s="134">
        <f t="shared" si="15"/>
        <v>0</v>
      </c>
      <c r="S62" s="148"/>
      <c r="T62" s="40">
        <f t="shared" si="12"/>
        <v>0</v>
      </c>
    </row>
    <row r="63" spans="1:20" s="77" customFormat="1" ht="25.4" hidden="1" customHeight="1">
      <c r="A63" s="3" t="s">
        <v>190</v>
      </c>
      <c r="B63" s="3" t="s">
        <v>393</v>
      </c>
      <c r="C63" s="3"/>
      <c r="D63" s="26" t="s">
        <v>191</v>
      </c>
      <c r="E63" s="386"/>
      <c r="F63" s="386"/>
      <c r="G63" s="386"/>
      <c r="H63" s="386"/>
      <c r="I63" s="386"/>
      <c r="J63" s="386"/>
      <c r="K63" s="386"/>
      <c r="L63" s="386"/>
      <c r="M63" s="386"/>
      <c r="N63" s="386"/>
      <c r="O63" s="386"/>
      <c r="P63" s="386"/>
      <c r="Q63" s="134">
        <f t="shared" si="16"/>
        <v>0</v>
      </c>
      <c r="R63" s="134">
        <f t="shared" si="15"/>
        <v>0</v>
      </c>
      <c r="S63" s="148"/>
      <c r="T63" s="40">
        <f t="shared" si="12"/>
        <v>0</v>
      </c>
    </row>
    <row r="64" spans="1:20" s="77" customFormat="1" ht="25.4" hidden="1" customHeight="1">
      <c r="A64" s="3" t="s">
        <v>192</v>
      </c>
      <c r="B64" s="3" t="s">
        <v>393</v>
      </c>
      <c r="C64" s="3"/>
      <c r="D64" s="26" t="s">
        <v>193</v>
      </c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134">
        <f t="shared" si="16"/>
        <v>0</v>
      </c>
      <c r="R64" s="134">
        <f t="shared" si="15"/>
        <v>0</v>
      </c>
      <c r="S64" s="148"/>
      <c r="T64" s="40">
        <f t="shared" si="12"/>
        <v>0</v>
      </c>
    </row>
    <row r="65" spans="1:20" s="77" customFormat="1" ht="25.4" hidden="1" customHeight="1">
      <c r="A65" s="3" t="s">
        <v>194</v>
      </c>
      <c r="B65" s="3" t="s">
        <v>393</v>
      </c>
      <c r="C65" s="3"/>
      <c r="D65" s="26" t="s">
        <v>195</v>
      </c>
      <c r="E65" s="386"/>
      <c r="F65" s="386"/>
      <c r="G65" s="386"/>
      <c r="H65" s="386"/>
      <c r="I65" s="386"/>
      <c r="J65" s="386"/>
      <c r="K65" s="386"/>
      <c r="L65" s="386"/>
      <c r="M65" s="386"/>
      <c r="N65" s="386"/>
      <c r="O65" s="386"/>
      <c r="P65" s="386"/>
      <c r="Q65" s="134">
        <f t="shared" si="16"/>
        <v>0</v>
      </c>
      <c r="R65" s="134">
        <f t="shared" si="15"/>
        <v>0</v>
      </c>
      <c r="S65" s="148"/>
      <c r="T65" s="40">
        <f t="shared" si="12"/>
        <v>0</v>
      </c>
    </row>
    <row r="66" spans="1:20" s="77" customFormat="1" ht="25.4" customHeight="1">
      <c r="A66" s="3" t="s">
        <v>196</v>
      </c>
      <c r="B66" s="3" t="s">
        <v>393</v>
      </c>
      <c r="C66" s="3"/>
      <c r="D66" s="26" t="s">
        <v>197</v>
      </c>
      <c r="E66" s="386"/>
      <c r="F66" s="386"/>
      <c r="G66" s="386"/>
      <c r="H66" s="386"/>
      <c r="I66" s="386"/>
      <c r="J66" s="386"/>
      <c r="K66" s="386"/>
      <c r="L66" s="386"/>
      <c r="M66" s="386"/>
      <c r="N66" s="386"/>
      <c r="O66" s="386"/>
      <c r="P66" s="386"/>
      <c r="Q66" s="134">
        <f t="shared" si="16"/>
        <v>0</v>
      </c>
      <c r="R66" s="134">
        <f t="shared" si="15"/>
        <v>0</v>
      </c>
      <c r="S66" s="148"/>
      <c r="T66" s="40">
        <f t="shared" si="12"/>
        <v>0</v>
      </c>
    </row>
    <row r="67" spans="1:20" s="77" customFormat="1" ht="25.4" customHeight="1">
      <c r="A67" s="3" t="s">
        <v>198</v>
      </c>
      <c r="B67" s="3" t="s">
        <v>393</v>
      </c>
      <c r="C67" s="3"/>
      <c r="D67" s="26" t="s">
        <v>199</v>
      </c>
      <c r="E67" s="387">
        <f>12*E165</f>
        <v>36</v>
      </c>
      <c r="F67" s="387">
        <f t="shared" ref="F67:P67" si="17">12*F165</f>
        <v>36</v>
      </c>
      <c r="G67" s="387">
        <f t="shared" si="17"/>
        <v>36</v>
      </c>
      <c r="H67" s="387">
        <f t="shared" si="17"/>
        <v>36</v>
      </c>
      <c r="I67" s="387">
        <f t="shared" si="17"/>
        <v>36</v>
      </c>
      <c r="J67" s="387">
        <f t="shared" si="17"/>
        <v>36</v>
      </c>
      <c r="K67" s="387">
        <f t="shared" si="17"/>
        <v>36</v>
      </c>
      <c r="L67" s="387">
        <f t="shared" si="17"/>
        <v>36</v>
      </c>
      <c r="M67" s="387">
        <f t="shared" si="17"/>
        <v>36</v>
      </c>
      <c r="N67" s="387">
        <f t="shared" si="17"/>
        <v>36</v>
      </c>
      <c r="O67" s="387">
        <f t="shared" si="17"/>
        <v>36</v>
      </c>
      <c r="P67" s="387">
        <f t="shared" si="17"/>
        <v>36</v>
      </c>
      <c r="Q67" s="134">
        <f t="shared" si="16"/>
        <v>432</v>
      </c>
      <c r="R67" s="134">
        <f t="shared" si="15"/>
        <v>1.1428571428571428</v>
      </c>
      <c r="S67" s="148"/>
      <c r="T67" s="40" t="e">
        <f t="shared" si="12"/>
        <v>#DIV/0!</v>
      </c>
    </row>
    <row r="68" spans="1:20" s="77" customFormat="1" ht="25.4" customHeight="1">
      <c r="A68" s="3" t="s">
        <v>200</v>
      </c>
      <c r="B68" s="3" t="s">
        <v>393</v>
      </c>
      <c r="C68" s="3"/>
      <c r="D68" s="26" t="s">
        <v>201</v>
      </c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134">
        <f t="shared" si="16"/>
        <v>0</v>
      </c>
      <c r="R68" s="134">
        <f t="shared" si="15"/>
        <v>0</v>
      </c>
      <c r="S68" s="148"/>
      <c r="T68" s="40">
        <f t="shared" si="12"/>
        <v>0</v>
      </c>
    </row>
    <row r="69" spans="1:20" s="77" customFormat="1" ht="25.4" hidden="1" customHeight="1">
      <c r="A69" s="3" t="s">
        <v>202</v>
      </c>
      <c r="B69" s="3" t="s">
        <v>393</v>
      </c>
      <c r="C69" s="3"/>
      <c r="D69" s="26" t="s">
        <v>203</v>
      </c>
      <c r="E69" s="386"/>
      <c r="F69" s="386"/>
      <c r="G69" s="386"/>
      <c r="H69" s="386"/>
      <c r="I69" s="386"/>
      <c r="J69" s="386"/>
      <c r="K69" s="386"/>
      <c r="L69" s="386"/>
      <c r="M69" s="386"/>
      <c r="N69" s="386"/>
      <c r="O69" s="386"/>
      <c r="P69" s="386"/>
      <c r="Q69" s="134">
        <f t="shared" si="16"/>
        <v>0</v>
      </c>
      <c r="R69" s="134">
        <f t="shared" si="15"/>
        <v>0</v>
      </c>
      <c r="S69" s="148"/>
      <c r="T69" s="40">
        <f t="shared" si="12"/>
        <v>0</v>
      </c>
    </row>
    <row r="70" spans="1:20" s="77" customFormat="1" ht="25.4" hidden="1" customHeight="1">
      <c r="A70" s="3" t="s">
        <v>204</v>
      </c>
      <c r="B70" s="3" t="s">
        <v>393</v>
      </c>
      <c r="C70" s="3"/>
      <c r="D70" s="26" t="s">
        <v>205</v>
      </c>
      <c r="E70" s="386"/>
      <c r="F70" s="386"/>
      <c r="G70" s="386"/>
      <c r="H70" s="386"/>
      <c r="I70" s="386"/>
      <c r="J70" s="386"/>
      <c r="K70" s="386"/>
      <c r="L70" s="386"/>
      <c r="M70" s="386"/>
      <c r="N70" s="386"/>
      <c r="O70" s="386"/>
      <c r="P70" s="386"/>
      <c r="Q70" s="134">
        <f t="shared" si="16"/>
        <v>0</v>
      </c>
      <c r="R70" s="134">
        <f t="shared" si="15"/>
        <v>0</v>
      </c>
      <c r="S70" s="148"/>
      <c r="T70" s="40">
        <f t="shared" si="12"/>
        <v>0</v>
      </c>
    </row>
    <row r="71" spans="1:20" s="77" customFormat="1" ht="25.4" hidden="1" customHeight="1">
      <c r="A71" s="3" t="s">
        <v>206</v>
      </c>
      <c r="B71" s="3" t="s">
        <v>393</v>
      </c>
      <c r="C71" s="3"/>
      <c r="D71" s="26" t="s">
        <v>207</v>
      </c>
      <c r="E71" s="386"/>
      <c r="F71" s="386"/>
      <c r="G71" s="386"/>
      <c r="H71" s="386"/>
      <c r="I71" s="386"/>
      <c r="J71" s="386"/>
      <c r="K71" s="386"/>
      <c r="L71" s="386"/>
      <c r="M71" s="386"/>
      <c r="N71" s="386"/>
      <c r="O71" s="386"/>
      <c r="P71" s="386"/>
      <c r="Q71" s="134">
        <f t="shared" si="16"/>
        <v>0</v>
      </c>
      <c r="R71" s="134">
        <f t="shared" ref="R71:R102" si="18">Q71/$Q$117</f>
        <v>0</v>
      </c>
      <c r="S71" s="148"/>
      <c r="T71" s="40">
        <f t="shared" si="12"/>
        <v>0</v>
      </c>
    </row>
    <row r="72" spans="1:20" s="77" customFormat="1" ht="25.4" hidden="1" customHeight="1">
      <c r="A72" s="3" t="s">
        <v>208</v>
      </c>
      <c r="B72" s="3" t="s">
        <v>393</v>
      </c>
      <c r="C72" s="3"/>
      <c r="D72" s="26" t="s">
        <v>209</v>
      </c>
      <c r="E72" s="386"/>
      <c r="F72" s="386"/>
      <c r="G72" s="386"/>
      <c r="H72" s="386"/>
      <c r="I72" s="386"/>
      <c r="J72" s="386"/>
      <c r="K72" s="386"/>
      <c r="L72" s="386"/>
      <c r="M72" s="386"/>
      <c r="N72" s="386"/>
      <c r="O72" s="386"/>
      <c r="P72" s="386"/>
      <c r="Q72" s="134">
        <f t="shared" si="16"/>
        <v>0</v>
      </c>
      <c r="R72" s="134">
        <f t="shared" si="18"/>
        <v>0</v>
      </c>
      <c r="S72" s="148"/>
      <c r="T72" s="40">
        <f t="shared" si="12"/>
        <v>0</v>
      </c>
    </row>
    <row r="73" spans="1:20" s="77" customFormat="1" ht="25.4" hidden="1" customHeight="1">
      <c r="A73" s="3" t="s">
        <v>210</v>
      </c>
      <c r="B73" s="3" t="s">
        <v>393</v>
      </c>
      <c r="C73" s="3"/>
      <c r="D73" s="26" t="s">
        <v>211</v>
      </c>
      <c r="E73" s="386"/>
      <c r="F73" s="386"/>
      <c r="G73" s="386"/>
      <c r="H73" s="386"/>
      <c r="I73" s="386"/>
      <c r="J73" s="386"/>
      <c r="K73" s="386"/>
      <c r="L73" s="386"/>
      <c r="M73" s="386"/>
      <c r="N73" s="386"/>
      <c r="O73" s="386"/>
      <c r="P73" s="386"/>
      <c r="Q73" s="134">
        <f t="shared" si="16"/>
        <v>0</v>
      </c>
      <c r="R73" s="134">
        <f t="shared" si="18"/>
        <v>0</v>
      </c>
      <c r="S73" s="148"/>
      <c r="T73" s="40">
        <f t="shared" si="12"/>
        <v>0</v>
      </c>
    </row>
    <row r="74" spans="1:20" s="77" customFormat="1" ht="25.4" hidden="1" customHeight="1">
      <c r="A74" s="3" t="s">
        <v>212</v>
      </c>
      <c r="B74" s="3" t="s">
        <v>393</v>
      </c>
      <c r="C74" s="3"/>
      <c r="D74" s="26" t="s">
        <v>213</v>
      </c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134">
        <f t="shared" si="16"/>
        <v>0</v>
      </c>
      <c r="R74" s="134">
        <f t="shared" si="18"/>
        <v>0</v>
      </c>
      <c r="S74" s="148"/>
      <c r="T74" s="40">
        <f t="shared" si="12"/>
        <v>0</v>
      </c>
    </row>
    <row r="75" spans="1:20" s="77" customFormat="1" ht="25.4" hidden="1" customHeight="1">
      <c r="A75" s="3" t="s">
        <v>214</v>
      </c>
      <c r="B75" s="3" t="s">
        <v>393</v>
      </c>
      <c r="C75" s="3"/>
      <c r="D75" s="26" t="s">
        <v>215</v>
      </c>
      <c r="E75" s="386"/>
      <c r="F75" s="386"/>
      <c r="G75" s="386"/>
      <c r="H75" s="386"/>
      <c r="I75" s="386"/>
      <c r="J75" s="386"/>
      <c r="K75" s="386"/>
      <c r="L75" s="386"/>
      <c r="M75" s="386"/>
      <c r="N75" s="386"/>
      <c r="O75" s="386"/>
      <c r="P75" s="386"/>
      <c r="Q75" s="134">
        <f t="shared" si="16"/>
        <v>0</v>
      </c>
      <c r="R75" s="134">
        <f t="shared" si="18"/>
        <v>0</v>
      </c>
      <c r="S75" s="148"/>
      <c r="T75" s="40">
        <f t="shared" si="12"/>
        <v>0</v>
      </c>
    </row>
    <row r="76" spans="1:20" s="77" customFormat="1" ht="25.4" hidden="1" customHeight="1">
      <c r="A76" s="3" t="s">
        <v>216</v>
      </c>
      <c r="B76" s="3" t="s">
        <v>393</v>
      </c>
      <c r="C76" s="3"/>
      <c r="D76" s="26" t="s">
        <v>217</v>
      </c>
      <c r="E76" s="386"/>
      <c r="F76" s="386"/>
      <c r="G76" s="386"/>
      <c r="H76" s="386"/>
      <c r="I76" s="386"/>
      <c r="J76" s="386"/>
      <c r="K76" s="386"/>
      <c r="L76" s="386"/>
      <c r="M76" s="386"/>
      <c r="N76" s="386"/>
      <c r="O76" s="386"/>
      <c r="P76" s="386"/>
      <c r="Q76" s="134">
        <f t="shared" si="16"/>
        <v>0</v>
      </c>
      <c r="R76" s="134">
        <f t="shared" si="18"/>
        <v>0</v>
      </c>
      <c r="S76" s="148"/>
      <c r="T76" s="40">
        <f t="shared" si="12"/>
        <v>0</v>
      </c>
    </row>
    <row r="77" spans="1:20" s="77" customFormat="1" ht="25.4" hidden="1" customHeight="1">
      <c r="A77" s="3" t="s">
        <v>218</v>
      </c>
      <c r="B77" s="3" t="s">
        <v>393</v>
      </c>
      <c r="C77" s="3"/>
      <c r="D77" s="26" t="s">
        <v>219</v>
      </c>
      <c r="E77" s="386"/>
      <c r="F77" s="386"/>
      <c r="G77" s="386"/>
      <c r="H77" s="386"/>
      <c r="I77" s="386"/>
      <c r="J77" s="386"/>
      <c r="K77" s="386"/>
      <c r="L77" s="386"/>
      <c r="M77" s="386"/>
      <c r="N77" s="386"/>
      <c r="O77" s="386"/>
      <c r="P77" s="386"/>
      <c r="Q77" s="134">
        <f t="shared" si="16"/>
        <v>0</v>
      </c>
      <c r="R77" s="134">
        <f t="shared" si="18"/>
        <v>0</v>
      </c>
      <c r="S77" s="148"/>
      <c r="T77" s="40">
        <f t="shared" si="12"/>
        <v>0</v>
      </c>
    </row>
    <row r="78" spans="1:20" s="77" customFormat="1" ht="25.4" hidden="1" customHeight="1">
      <c r="A78" s="3" t="s">
        <v>220</v>
      </c>
      <c r="B78" s="3" t="s">
        <v>393</v>
      </c>
      <c r="C78" s="3"/>
      <c r="D78" s="26" t="s">
        <v>221</v>
      </c>
      <c r="E78" s="386"/>
      <c r="F78" s="386"/>
      <c r="G78" s="386"/>
      <c r="H78" s="386"/>
      <c r="I78" s="386"/>
      <c r="J78" s="386"/>
      <c r="K78" s="386"/>
      <c r="L78" s="386"/>
      <c r="M78" s="386"/>
      <c r="N78" s="386"/>
      <c r="O78" s="386"/>
      <c r="P78" s="386"/>
      <c r="Q78" s="134">
        <f t="shared" si="16"/>
        <v>0</v>
      </c>
      <c r="R78" s="134">
        <f t="shared" si="18"/>
        <v>0</v>
      </c>
      <c r="S78" s="148"/>
      <c r="T78" s="40">
        <f t="shared" si="12"/>
        <v>0</v>
      </c>
    </row>
    <row r="79" spans="1:20" s="77" customFormat="1" ht="25.4" hidden="1" customHeight="1">
      <c r="A79" s="3" t="s">
        <v>222</v>
      </c>
      <c r="B79" s="3" t="s">
        <v>393</v>
      </c>
      <c r="C79" s="3"/>
      <c r="D79" s="26" t="s">
        <v>223</v>
      </c>
      <c r="E79" s="386"/>
      <c r="F79" s="386"/>
      <c r="G79" s="386"/>
      <c r="H79" s="386"/>
      <c r="I79" s="386"/>
      <c r="J79" s="386"/>
      <c r="K79" s="386"/>
      <c r="L79" s="386"/>
      <c r="M79" s="386"/>
      <c r="N79" s="386"/>
      <c r="O79" s="386"/>
      <c r="P79" s="386"/>
      <c r="Q79" s="134">
        <f t="shared" si="16"/>
        <v>0</v>
      </c>
      <c r="R79" s="134">
        <f t="shared" si="18"/>
        <v>0</v>
      </c>
      <c r="S79" s="148"/>
      <c r="T79" s="40">
        <f t="shared" si="12"/>
        <v>0</v>
      </c>
    </row>
    <row r="80" spans="1:20" s="77" customFormat="1" ht="25.4" hidden="1" customHeight="1">
      <c r="A80" s="3" t="s">
        <v>224</v>
      </c>
      <c r="B80" s="3" t="s">
        <v>393</v>
      </c>
      <c r="C80" s="3"/>
      <c r="D80" s="26" t="s">
        <v>225</v>
      </c>
      <c r="E80" s="386"/>
      <c r="F80" s="386"/>
      <c r="G80" s="386"/>
      <c r="H80" s="386"/>
      <c r="I80" s="386"/>
      <c r="J80" s="386"/>
      <c r="K80" s="386"/>
      <c r="L80" s="386"/>
      <c r="M80" s="386"/>
      <c r="N80" s="386"/>
      <c r="O80" s="386"/>
      <c r="P80" s="386"/>
      <c r="Q80" s="134">
        <f t="shared" si="16"/>
        <v>0</v>
      </c>
      <c r="R80" s="134">
        <f t="shared" si="18"/>
        <v>0</v>
      </c>
      <c r="S80" s="148"/>
      <c r="T80" s="40">
        <f t="shared" si="12"/>
        <v>0</v>
      </c>
    </row>
    <row r="81" spans="1:20" s="77" customFormat="1" ht="25.4" hidden="1" customHeight="1">
      <c r="A81" s="3" t="s">
        <v>226</v>
      </c>
      <c r="B81" s="3" t="s">
        <v>393</v>
      </c>
      <c r="C81" s="3"/>
      <c r="D81" s="26" t="s">
        <v>227</v>
      </c>
      <c r="E81" s="386"/>
      <c r="F81" s="386"/>
      <c r="G81" s="386"/>
      <c r="H81" s="386"/>
      <c r="I81" s="386"/>
      <c r="J81" s="386"/>
      <c r="K81" s="386"/>
      <c r="L81" s="386"/>
      <c r="M81" s="386"/>
      <c r="N81" s="386"/>
      <c r="O81" s="386"/>
      <c r="P81" s="386"/>
      <c r="Q81" s="134">
        <f t="shared" si="16"/>
        <v>0</v>
      </c>
      <c r="R81" s="134">
        <f t="shared" si="18"/>
        <v>0</v>
      </c>
      <c r="S81" s="148"/>
      <c r="T81" s="40">
        <f t="shared" si="12"/>
        <v>0</v>
      </c>
    </row>
    <row r="82" spans="1:20" s="77" customFormat="1" ht="25.4" hidden="1" customHeight="1">
      <c r="A82" s="3" t="s">
        <v>228</v>
      </c>
      <c r="B82" s="3" t="s">
        <v>393</v>
      </c>
      <c r="C82" s="3"/>
      <c r="D82" s="26" t="s">
        <v>229</v>
      </c>
      <c r="E82" s="386"/>
      <c r="F82" s="386"/>
      <c r="G82" s="386"/>
      <c r="H82" s="386"/>
      <c r="I82" s="386"/>
      <c r="J82" s="386"/>
      <c r="K82" s="386"/>
      <c r="L82" s="386"/>
      <c r="M82" s="386"/>
      <c r="N82" s="386"/>
      <c r="O82" s="386"/>
      <c r="P82" s="386"/>
      <c r="Q82" s="134">
        <f t="shared" si="16"/>
        <v>0</v>
      </c>
      <c r="R82" s="134">
        <f t="shared" si="18"/>
        <v>0</v>
      </c>
      <c r="S82" s="148"/>
      <c r="T82" s="40">
        <f t="shared" si="12"/>
        <v>0</v>
      </c>
    </row>
    <row r="83" spans="1:20" s="77" customFormat="1" ht="25.4" hidden="1" customHeight="1">
      <c r="A83" s="3" t="s">
        <v>230</v>
      </c>
      <c r="B83" s="3" t="s">
        <v>393</v>
      </c>
      <c r="C83" s="3"/>
      <c r="D83" s="26" t="s">
        <v>231</v>
      </c>
      <c r="E83" s="386"/>
      <c r="F83" s="386"/>
      <c r="G83" s="386"/>
      <c r="H83" s="386"/>
      <c r="I83" s="386"/>
      <c r="J83" s="386"/>
      <c r="K83" s="386"/>
      <c r="L83" s="386"/>
      <c r="M83" s="386"/>
      <c r="N83" s="386"/>
      <c r="O83" s="386"/>
      <c r="P83" s="386"/>
      <c r="Q83" s="134">
        <f t="shared" si="16"/>
        <v>0</v>
      </c>
      <c r="R83" s="134">
        <f t="shared" si="18"/>
        <v>0</v>
      </c>
      <c r="S83" s="148"/>
      <c r="T83" s="40">
        <f t="shared" si="12"/>
        <v>0</v>
      </c>
    </row>
    <row r="84" spans="1:20" s="77" customFormat="1" ht="25.4" hidden="1" customHeight="1">
      <c r="A84" s="3" t="s">
        <v>232</v>
      </c>
      <c r="B84" s="3" t="s">
        <v>393</v>
      </c>
      <c r="C84" s="3"/>
      <c r="D84" s="26" t="s">
        <v>233</v>
      </c>
      <c r="E84" s="386"/>
      <c r="F84" s="386"/>
      <c r="G84" s="386"/>
      <c r="H84" s="386"/>
      <c r="I84" s="386"/>
      <c r="J84" s="386"/>
      <c r="K84" s="386"/>
      <c r="L84" s="386"/>
      <c r="M84" s="386"/>
      <c r="N84" s="386"/>
      <c r="O84" s="386"/>
      <c r="P84" s="386"/>
      <c r="Q84" s="134">
        <f t="shared" si="16"/>
        <v>0</v>
      </c>
      <c r="R84" s="134">
        <f t="shared" si="18"/>
        <v>0</v>
      </c>
      <c r="S84" s="148"/>
      <c r="T84" s="40">
        <f t="shared" si="12"/>
        <v>0</v>
      </c>
    </row>
    <row r="85" spans="1:20" s="77" customFormat="1" ht="25.4" hidden="1" customHeight="1">
      <c r="A85" s="3" t="s">
        <v>234</v>
      </c>
      <c r="B85" s="3" t="s">
        <v>393</v>
      </c>
      <c r="C85" s="3"/>
      <c r="D85" s="26" t="s">
        <v>235</v>
      </c>
      <c r="E85" s="386"/>
      <c r="F85" s="386"/>
      <c r="G85" s="386"/>
      <c r="H85" s="386"/>
      <c r="I85" s="386"/>
      <c r="J85" s="386"/>
      <c r="K85" s="386"/>
      <c r="L85" s="386"/>
      <c r="M85" s="386"/>
      <c r="N85" s="386"/>
      <c r="O85" s="386"/>
      <c r="P85" s="386"/>
      <c r="Q85" s="134">
        <f t="shared" si="16"/>
        <v>0</v>
      </c>
      <c r="R85" s="134">
        <f t="shared" si="18"/>
        <v>0</v>
      </c>
      <c r="S85" s="148"/>
      <c r="T85" s="40">
        <f t="shared" si="12"/>
        <v>0</v>
      </c>
    </row>
    <row r="86" spans="1:20" s="77" customFormat="1" ht="25.4" hidden="1" customHeight="1">
      <c r="A86" s="3" t="s">
        <v>422</v>
      </c>
      <c r="B86" s="3" t="s">
        <v>393</v>
      </c>
      <c r="C86" s="3"/>
      <c r="D86" s="26" t="s">
        <v>423</v>
      </c>
      <c r="E86" s="386"/>
      <c r="F86" s="386"/>
      <c r="G86" s="386"/>
      <c r="H86" s="386"/>
      <c r="I86" s="386"/>
      <c r="J86" s="386"/>
      <c r="K86" s="386"/>
      <c r="L86" s="386"/>
      <c r="M86" s="386"/>
      <c r="N86" s="386"/>
      <c r="O86" s="386"/>
      <c r="P86" s="386"/>
      <c r="Q86" s="134">
        <f t="shared" si="16"/>
        <v>0</v>
      </c>
      <c r="R86" s="134">
        <f t="shared" si="18"/>
        <v>0</v>
      </c>
      <c r="S86" s="148"/>
      <c r="T86" s="40">
        <f t="shared" si="12"/>
        <v>0</v>
      </c>
    </row>
    <row r="87" spans="1:20" s="77" customFormat="1" ht="25.4" hidden="1" customHeight="1">
      <c r="A87" s="3" t="s">
        <v>236</v>
      </c>
      <c r="B87" s="3" t="s">
        <v>393</v>
      </c>
      <c r="C87" s="3"/>
      <c r="D87" s="26" t="s">
        <v>237</v>
      </c>
      <c r="E87" s="386"/>
      <c r="F87" s="386"/>
      <c r="G87" s="386"/>
      <c r="H87" s="386"/>
      <c r="I87" s="386"/>
      <c r="J87" s="386"/>
      <c r="K87" s="386"/>
      <c r="L87" s="386"/>
      <c r="M87" s="386"/>
      <c r="N87" s="386"/>
      <c r="O87" s="386"/>
      <c r="P87" s="386"/>
      <c r="Q87" s="134">
        <f t="shared" si="16"/>
        <v>0</v>
      </c>
      <c r="R87" s="134">
        <f t="shared" si="18"/>
        <v>0</v>
      </c>
      <c r="S87" s="148"/>
      <c r="T87" s="40">
        <f t="shared" si="12"/>
        <v>0</v>
      </c>
    </row>
    <row r="88" spans="1:20" s="77" customFormat="1" ht="25.4" hidden="1" customHeight="1">
      <c r="A88" s="3" t="s">
        <v>238</v>
      </c>
      <c r="B88" s="3" t="s">
        <v>393</v>
      </c>
      <c r="C88" s="3"/>
      <c r="D88" s="26" t="s">
        <v>239</v>
      </c>
      <c r="E88" s="386"/>
      <c r="F88" s="386"/>
      <c r="G88" s="386"/>
      <c r="H88" s="386"/>
      <c r="I88" s="386"/>
      <c r="J88" s="386"/>
      <c r="K88" s="386"/>
      <c r="L88" s="386"/>
      <c r="M88" s="386"/>
      <c r="N88" s="386"/>
      <c r="O88" s="386"/>
      <c r="P88" s="386"/>
      <c r="Q88" s="134">
        <f t="shared" si="16"/>
        <v>0</v>
      </c>
      <c r="R88" s="134">
        <f t="shared" si="18"/>
        <v>0</v>
      </c>
      <c r="S88" s="148"/>
      <c r="T88" s="40">
        <f t="shared" si="12"/>
        <v>0</v>
      </c>
    </row>
    <row r="89" spans="1:20" s="77" customFormat="1" ht="25.4" hidden="1" customHeight="1">
      <c r="A89" s="3" t="s">
        <v>240</v>
      </c>
      <c r="B89" s="3" t="s">
        <v>393</v>
      </c>
      <c r="C89" s="3"/>
      <c r="D89" s="26" t="s">
        <v>241</v>
      </c>
      <c r="E89" s="386"/>
      <c r="F89" s="386"/>
      <c r="G89" s="386"/>
      <c r="H89" s="386"/>
      <c r="I89" s="386"/>
      <c r="J89" s="386"/>
      <c r="K89" s="386"/>
      <c r="L89" s="386"/>
      <c r="M89" s="386"/>
      <c r="N89" s="386"/>
      <c r="O89" s="386"/>
      <c r="P89" s="386"/>
      <c r="Q89" s="134">
        <f t="shared" si="16"/>
        <v>0</v>
      </c>
      <c r="R89" s="134">
        <f t="shared" si="18"/>
        <v>0</v>
      </c>
      <c r="S89" s="148"/>
      <c r="T89" s="40">
        <f t="shared" si="12"/>
        <v>0</v>
      </c>
    </row>
    <row r="90" spans="1:20" s="77" customFormat="1" ht="25.4" hidden="1" customHeight="1">
      <c r="A90" s="3" t="s">
        <v>242</v>
      </c>
      <c r="B90" s="3" t="s">
        <v>393</v>
      </c>
      <c r="C90" s="3"/>
      <c r="D90" s="26" t="s">
        <v>243</v>
      </c>
      <c r="E90" s="386"/>
      <c r="F90" s="386"/>
      <c r="G90" s="386"/>
      <c r="H90" s="386"/>
      <c r="I90" s="386"/>
      <c r="J90" s="386"/>
      <c r="K90" s="386"/>
      <c r="L90" s="386"/>
      <c r="M90" s="386"/>
      <c r="N90" s="386"/>
      <c r="O90" s="386"/>
      <c r="P90" s="386"/>
      <c r="Q90" s="134">
        <f t="shared" si="16"/>
        <v>0</v>
      </c>
      <c r="R90" s="134">
        <f t="shared" si="18"/>
        <v>0</v>
      </c>
      <c r="S90" s="148"/>
      <c r="T90" s="40">
        <f t="shared" si="12"/>
        <v>0</v>
      </c>
    </row>
    <row r="91" spans="1:20" s="77" customFormat="1" ht="25.4" hidden="1" customHeight="1">
      <c r="A91" s="3" t="s">
        <v>244</v>
      </c>
      <c r="B91" s="3" t="s">
        <v>393</v>
      </c>
      <c r="C91" s="3"/>
      <c r="D91" s="26" t="s">
        <v>245</v>
      </c>
      <c r="E91" s="386"/>
      <c r="F91" s="386"/>
      <c r="G91" s="386"/>
      <c r="H91" s="386"/>
      <c r="I91" s="386"/>
      <c r="J91" s="386"/>
      <c r="K91" s="386"/>
      <c r="L91" s="386"/>
      <c r="M91" s="386"/>
      <c r="N91" s="386"/>
      <c r="O91" s="386"/>
      <c r="P91" s="386"/>
      <c r="Q91" s="134">
        <f t="shared" si="16"/>
        <v>0</v>
      </c>
      <c r="R91" s="134">
        <f t="shared" si="18"/>
        <v>0</v>
      </c>
      <c r="S91" s="148"/>
      <c r="T91" s="40">
        <f t="shared" si="12"/>
        <v>0</v>
      </c>
    </row>
    <row r="92" spans="1:20" s="77" customFormat="1" ht="25.4" hidden="1" customHeight="1">
      <c r="A92" s="3" t="s">
        <v>246</v>
      </c>
      <c r="B92" s="3" t="s">
        <v>393</v>
      </c>
      <c r="C92" s="3"/>
      <c r="D92" s="26" t="s">
        <v>247</v>
      </c>
      <c r="E92" s="386"/>
      <c r="F92" s="386"/>
      <c r="G92" s="386"/>
      <c r="H92" s="386"/>
      <c r="I92" s="386"/>
      <c r="J92" s="386"/>
      <c r="K92" s="386"/>
      <c r="L92" s="386"/>
      <c r="M92" s="386"/>
      <c r="N92" s="386"/>
      <c r="O92" s="386"/>
      <c r="P92" s="386"/>
      <c r="Q92" s="134">
        <f t="shared" si="16"/>
        <v>0</v>
      </c>
      <c r="R92" s="134">
        <f t="shared" si="18"/>
        <v>0</v>
      </c>
      <c r="S92" s="148"/>
      <c r="T92" s="40">
        <f t="shared" si="12"/>
        <v>0</v>
      </c>
    </row>
    <row r="93" spans="1:20" s="77" customFormat="1" ht="25.4" hidden="1" customHeight="1">
      <c r="A93" s="3" t="s">
        <v>248</v>
      </c>
      <c r="B93" s="3" t="s">
        <v>393</v>
      </c>
      <c r="C93" s="3"/>
      <c r="D93" s="26" t="s">
        <v>249</v>
      </c>
      <c r="E93" s="386"/>
      <c r="F93" s="386"/>
      <c r="G93" s="386"/>
      <c r="H93" s="386"/>
      <c r="I93" s="386"/>
      <c r="J93" s="386"/>
      <c r="K93" s="386"/>
      <c r="L93" s="386"/>
      <c r="M93" s="386"/>
      <c r="N93" s="386"/>
      <c r="O93" s="386"/>
      <c r="P93" s="386"/>
      <c r="Q93" s="134">
        <f t="shared" si="16"/>
        <v>0</v>
      </c>
      <c r="R93" s="134">
        <f t="shared" si="18"/>
        <v>0</v>
      </c>
      <c r="S93" s="148"/>
      <c r="T93" s="40">
        <f t="shared" si="12"/>
        <v>0</v>
      </c>
    </row>
    <row r="94" spans="1:20" s="77" customFormat="1" ht="25.4" customHeight="1">
      <c r="A94" s="3" t="s">
        <v>250</v>
      </c>
      <c r="B94" s="3" t="s">
        <v>393</v>
      </c>
      <c r="C94" s="3"/>
      <c r="D94" s="26" t="s">
        <v>251</v>
      </c>
      <c r="E94" s="386"/>
      <c r="F94" s="386"/>
      <c r="G94" s="386"/>
      <c r="H94" s="386"/>
      <c r="I94" s="386"/>
      <c r="J94" s="386"/>
      <c r="K94" s="386"/>
      <c r="L94" s="386"/>
      <c r="M94" s="386"/>
      <c r="N94" s="386"/>
      <c r="O94" s="386"/>
      <c r="P94" s="386"/>
      <c r="Q94" s="134">
        <f t="shared" si="16"/>
        <v>0</v>
      </c>
      <c r="R94" s="134">
        <f t="shared" si="18"/>
        <v>0</v>
      </c>
      <c r="S94" s="148"/>
      <c r="T94" s="40">
        <f t="shared" si="12"/>
        <v>0</v>
      </c>
    </row>
    <row r="95" spans="1:20" s="77" customFormat="1" ht="25.4" customHeight="1">
      <c r="A95" s="3" t="s">
        <v>252</v>
      </c>
      <c r="B95" s="3" t="s">
        <v>393</v>
      </c>
      <c r="C95" s="3"/>
      <c r="D95" s="26" t="s">
        <v>253</v>
      </c>
      <c r="E95" s="387">
        <v>876.90000000000009</v>
      </c>
      <c r="F95" s="387">
        <v>771.08999999999992</v>
      </c>
      <c r="G95" s="387">
        <v>751.23</v>
      </c>
      <c r="H95" s="387">
        <v>770.28</v>
      </c>
      <c r="I95" s="387">
        <v>758.55</v>
      </c>
      <c r="J95" s="387">
        <v>698.64</v>
      </c>
      <c r="K95" s="387">
        <v>678.99</v>
      </c>
      <c r="L95" s="387">
        <v>681.39</v>
      </c>
      <c r="M95" s="387">
        <v>695.37</v>
      </c>
      <c r="N95" s="387">
        <v>752.18999999999994</v>
      </c>
      <c r="O95" s="387">
        <v>674.13</v>
      </c>
      <c r="P95" s="387">
        <v>667.2</v>
      </c>
      <c r="Q95" s="134">
        <f t="shared" si="16"/>
        <v>8775.9600000000009</v>
      </c>
      <c r="R95" s="134">
        <f t="shared" si="18"/>
        <v>23.216825396825399</v>
      </c>
      <c r="S95" s="148"/>
      <c r="T95" s="40" t="e">
        <f t="shared" si="12"/>
        <v>#DIV/0!</v>
      </c>
    </row>
    <row r="96" spans="1:20" s="77" customFormat="1" ht="25.4" customHeight="1">
      <c r="A96" s="3" t="s">
        <v>254</v>
      </c>
      <c r="B96" s="3" t="s">
        <v>393</v>
      </c>
      <c r="C96" s="3"/>
      <c r="D96" s="26" t="s">
        <v>255</v>
      </c>
      <c r="E96" s="386"/>
      <c r="F96" s="386"/>
      <c r="G96" s="386"/>
      <c r="H96" s="386"/>
      <c r="I96" s="386"/>
      <c r="J96" s="386"/>
      <c r="K96" s="386"/>
      <c r="L96" s="386"/>
      <c r="M96" s="386"/>
      <c r="N96" s="386"/>
      <c r="O96" s="386"/>
      <c r="P96" s="386"/>
      <c r="Q96" s="134">
        <f t="shared" si="16"/>
        <v>0</v>
      </c>
      <c r="R96" s="134">
        <f t="shared" si="18"/>
        <v>0</v>
      </c>
      <c r="S96" s="148"/>
      <c r="T96" s="40">
        <f t="shared" ref="T96:T108" si="19">-IF(Q96-S96=0,0,(Q96-S96)/S96)</f>
        <v>0</v>
      </c>
    </row>
    <row r="97" spans="1:20" s="77" customFormat="1" ht="25.4" customHeight="1">
      <c r="A97" s="3" t="s">
        <v>256</v>
      </c>
      <c r="B97" s="3" t="s">
        <v>393</v>
      </c>
      <c r="C97" s="3"/>
      <c r="D97" s="26" t="s">
        <v>257</v>
      </c>
      <c r="E97" s="386">
        <v>100</v>
      </c>
      <c r="F97" s="386">
        <v>100</v>
      </c>
      <c r="G97" s="386">
        <v>100</v>
      </c>
      <c r="H97" s="386">
        <v>100</v>
      </c>
      <c r="I97" s="386">
        <v>100</v>
      </c>
      <c r="J97" s="386">
        <v>100</v>
      </c>
      <c r="K97" s="386">
        <v>100</v>
      </c>
      <c r="L97" s="386">
        <v>100</v>
      </c>
      <c r="M97" s="386">
        <v>100</v>
      </c>
      <c r="N97" s="386">
        <v>100</v>
      </c>
      <c r="O97" s="386">
        <v>100</v>
      </c>
      <c r="P97" s="386">
        <v>100</v>
      </c>
      <c r="Q97" s="134">
        <f t="shared" si="16"/>
        <v>1200</v>
      </c>
      <c r="R97" s="134">
        <f t="shared" si="18"/>
        <v>3.1746031746031744</v>
      </c>
      <c r="S97" s="148"/>
      <c r="T97" s="40" t="e">
        <f t="shared" si="19"/>
        <v>#DIV/0!</v>
      </c>
    </row>
    <row r="98" spans="1:20" s="77" customFormat="1" ht="25.4" hidden="1" customHeight="1">
      <c r="A98" s="3" t="s">
        <v>258</v>
      </c>
      <c r="B98" s="3" t="s">
        <v>393</v>
      </c>
      <c r="C98" s="3"/>
      <c r="D98" s="26" t="s">
        <v>259</v>
      </c>
      <c r="E98" s="386"/>
      <c r="F98" s="386"/>
      <c r="G98" s="386"/>
      <c r="H98" s="386"/>
      <c r="I98" s="386"/>
      <c r="J98" s="386"/>
      <c r="K98" s="386"/>
      <c r="L98" s="386"/>
      <c r="M98" s="386"/>
      <c r="N98" s="386"/>
      <c r="O98" s="386"/>
      <c r="P98" s="386"/>
      <c r="Q98" s="134">
        <f t="shared" si="16"/>
        <v>0</v>
      </c>
      <c r="R98" s="134">
        <f t="shared" si="18"/>
        <v>0</v>
      </c>
      <c r="S98" s="148"/>
      <c r="T98" s="40">
        <f t="shared" si="19"/>
        <v>0</v>
      </c>
    </row>
    <row r="99" spans="1:20" s="77" customFormat="1" ht="25.4" hidden="1" customHeight="1">
      <c r="A99" s="3" t="s">
        <v>260</v>
      </c>
      <c r="B99" s="3" t="s">
        <v>393</v>
      </c>
      <c r="C99" s="3"/>
      <c r="D99" s="26" t="s">
        <v>261</v>
      </c>
      <c r="E99" s="386"/>
      <c r="F99" s="386"/>
      <c r="G99" s="386"/>
      <c r="H99" s="386"/>
      <c r="I99" s="386"/>
      <c r="J99" s="386"/>
      <c r="K99" s="386"/>
      <c r="L99" s="386"/>
      <c r="M99" s="386"/>
      <c r="N99" s="386"/>
      <c r="O99" s="386"/>
      <c r="P99" s="386"/>
      <c r="Q99" s="134">
        <f t="shared" si="16"/>
        <v>0</v>
      </c>
      <c r="R99" s="134">
        <f t="shared" si="18"/>
        <v>0</v>
      </c>
      <c r="S99" s="148"/>
      <c r="T99" s="40">
        <f t="shared" si="19"/>
        <v>0</v>
      </c>
    </row>
    <row r="100" spans="1:20" s="77" customFormat="1" ht="25.4" hidden="1" customHeight="1">
      <c r="A100" s="3" t="s">
        <v>262</v>
      </c>
      <c r="B100" s="3" t="s">
        <v>393</v>
      </c>
      <c r="C100" s="3"/>
      <c r="D100" s="26" t="s">
        <v>263</v>
      </c>
      <c r="E100" s="386"/>
      <c r="F100" s="386"/>
      <c r="G100" s="386"/>
      <c r="H100" s="386"/>
      <c r="I100" s="386"/>
      <c r="J100" s="386"/>
      <c r="K100" s="386"/>
      <c r="L100" s="386"/>
      <c r="M100" s="386"/>
      <c r="N100" s="386"/>
      <c r="O100" s="386"/>
      <c r="P100" s="386"/>
      <c r="Q100" s="134">
        <f t="shared" si="16"/>
        <v>0</v>
      </c>
      <c r="R100" s="134">
        <f t="shared" si="18"/>
        <v>0</v>
      </c>
      <c r="S100" s="148"/>
      <c r="T100" s="40">
        <f t="shared" si="19"/>
        <v>0</v>
      </c>
    </row>
    <row r="101" spans="1:20" s="77" customFormat="1" ht="25.4" hidden="1" customHeight="1">
      <c r="A101" s="3" t="s">
        <v>264</v>
      </c>
      <c r="B101" s="3" t="s">
        <v>393</v>
      </c>
      <c r="C101" s="3"/>
      <c r="D101" s="26" t="s">
        <v>265</v>
      </c>
      <c r="E101" s="386"/>
      <c r="F101" s="386"/>
      <c r="G101" s="386"/>
      <c r="H101" s="386"/>
      <c r="I101" s="386"/>
      <c r="J101" s="386"/>
      <c r="K101" s="386"/>
      <c r="L101" s="386"/>
      <c r="M101" s="386"/>
      <c r="N101" s="386"/>
      <c r="O101" s="386"/>
      <c r="P101" s="386"/>
      <c r="Q101" s="134">
        <f t="shared" si="16"/>
        <v>0</v>
      </c>
      <c r="R101" s="134">
        <f t="shared" si="18"/>
        <v>0</v>
      </c>
      <c r="S101" s="148"/>
      <c r="T101" s="40">
        <f t="shared" si="19"/>
        <v>0</v>
      </c>
    </row>
    <row r="102" spans="1:20" s="77" customFormat="1" ht="25.4" hidden="1" customHeight="1">
      <c r="A102" s="3" t="s">
        <v>266</v>
      </c>
      <c r="B102" s="3" t="s">
        <v>393</v>
      </c>
      <c r="C102" s="3"/>
      <c r="D102" s="26" t="s">
        <v>267</v>
      </c>
      <c r="E102" s="386"/>
      <c r="F102" s="386"/>
      <c r="G102" s="386"/>
      <c r="H102" s="386"/>
      <c r="I102" s="386"/>
      <c r="J102" s="386"/>
      <c r="K102" s="386"/>
      <c r="L102" s="386"/>
      <c r="M102" s="386"/>
      <c r="N102" s="386"/>
      <c r="O102" s="386"/>
      <c r="P102" s="386"/>
      <c r="Q102" s="134">
        <f t="shared" si="16"/>
        <v>0</v>
      </c>
      <c r="R102" s="134">
        <f t="shared" si="18"/>
        <v>0</v>
      </c>
      <c r="S102" s="148"/>
      <c r="T102" s="40">
        <f t="shared" si="19"/>
        <v>0</v>
      </c>
    </row>
    <row r="103" spans="1:20" s="77" customFormat="1" ht="25.4" hidden="1" customHeight="1">
      <c r="A103" s="3" t="s">
        <v>268</v>
      </c>
      <c r="B103" s="3" t="s">
        <v>393</v>
      </c>
      <c r="C103" s="3"/>
      <c r="D103" s="26" t="s">
        <v>269</v>
      </c>
      <c r="E103" s="386"/>
      <c r="F103" s="386"/>
      <c r="G103" s="386"/>
      <c r="H103" s="386"/>
      <c r="I103" s="386"/>
      <c r="J103" s="386"/>
      <c r="K103" s="386"/>
      <c r="L103" s="386"/>
      <c r="M103" s="386"/>
      <c r="N103" s="386"/>
      <c r="O103" s="386"/>
      <c r="P103" s="386"/>
      <c r="Q103" s="134">
        <f t="shared" si="16"/>
        <v>0</v>
      </c>
      <c r="R103" s="134">
        <f t="shared" ref="R103:R108" si="20">Q103/$Q$117</f>
        <v>0</v>
      </c>
      <c r="S103" s="148"/>
      <c r="T103" s="40">
        <f t="shared" si="19"/>
        <v>0</v>
      </c>
    </row>
    <row r="104" spans="1:20" s="77" customFormat="1" ht="25.4" hidden="1" customHeight="1">
      <c r="A104" s="3" t="s">
        <v>270</v>
      </c>
      <c r="B104" s="3" t="s">
        <v>393</v>
      </c>
      <c r="C104" s="3"/>
      <c r="D104" s="26" t="s">
        <v>271</v>
      </c>
      <c r="E104" s="386"/>
      <c r="F104" s="386"/>
      <c r="G104" s="386"/>
      <c r="H104" s="386"/>
      <c r="I104" s="386"/>
      <c r="J104" s="386"/>
      <c r="K104" s="386"/>
      <c r="L104" s="386"/>
      <c r="M104" s="386"/>
      <c r="N104" s="386"/>
      <c r="O104" s="386"/>
      <c r="P104" s="386"/>
      <c r="Q104" s="134">
        <f t="shared" ref="Q104:Q107" si="21">SUM(E104:P104)</f>
        <v>0</v>
      </c>
      <c r="R104" s="134">
        <f t="shared" si="20"/>
        <v>0</v>
      </c>
      <c r="S104" s="148"/>
      <c r="T104" s="40">
        <f t="shared" si="19"/>
        <v>0</v>
      </c>
    </row>
    <row r="105" spans="1:20" s="77" customFormat="1" ht="25.4" hidden="1" customHeight="1">
      <c r="A105" s="3" t="s">
        <v>272</v>
      </c>
      <c r="B105" s="3" t="s">
        <v>393</v>
      </c>
      <c r="C105" s="3"/>
      <c r="D105" s="26" t="s">
        <v>273</v>
      </c>
      <c r="E105" s="386"/>
      <c r="F105" s="386"/>
      <c r="G105" s="386"/>
      <c r="H105" s="386"/>
      <c r="I105" s="386"/>
      <c r="J105" s="386"/>
      <c r="K105" s="386"/>
      <c r="L105" s="386"/>
      <c r="M105" s="386"/>
      <c r="N105" s="386"/>
      <c r="O105" s="386"/>
      <c r="P105" s="386"/>
      <c r="Q105" s="134">
        <f t="shared" si="21"/>
        <v>0</v>
      </c>
      <c r="R105" s="134">
        <f t="shared" si="20"/>
        <v>0</v>
      </c>
      <c r="S105" s="148"/>
      <c r="T105" s="40">
        <f t="shared" si="19"/>
        <v>0</v>
      </c>
    </row>
    <row r="106" spans="1:20" s="77" customFormat="1" ht="25.4" customHeight="1">
      <c r="A106" s="3" t="s">
        <v>274</v>
      </c>
      <c r="B106" s="3" t="s">
        <v>393</v>
      </c>
      <c r="C106" s="3"/>
      <c r="D106" s="26" t="s">
        <v>275</v>
      </c>
      <c r="E106" s="386"/>
      <c r="F106" s="386"/>
      <c r="G106" s="386"/>
      <c r="H106" s="386"/>
      <c r="I106" s="386"/>
      <c r="J106" s="386"/>
      <c r="K106" s="386"/>
      <c r="L106" s="386"/>
      <c r="M106" s="386"/>
      <c r="N106" s="386"/>
      <c r="O106" s="386"/>
      <c r="P106" s="386"/>
      <c r="Q106" s="134">
        <f t="shared" si="21"/>
        <v>0</v>
      </c>
      <c r="R106" s="134">
        <f t="shared" si="20"/>
        <v>0</v>
      </c>
      <c r="S106" s="148"/>
      <c r="T106" s="40">
        <f t="shared" si="19"/>
        <v>0</v>
      </c>
    </row>
    <row r="107" spans="1:20" s="77" customFormat="1" ht="25.4" customHeight="1">
      <c r="A107" s="3" t="s">
        <v>455</v>
      </c>
      <c r="B107" s="3" t="s">
        <v>393</v>
      </c>
      <c r="C107" s="3"/>
      <c r="D107" s="26" t="s">
        <v>456</v>
      </c>
      <c r="E107" s="386">
        <f>+STW!E148</f>
        <v>595.69000000000005</v>
      </c>
      <c r="F107" s="386">
        <f>+STW!F148</f>
        <v>710.46</v>
      </c>
      <c r="G107" s="386">
        <f>+STW!G148</f>
        <v>577.41999999999996</v>
      </c>
      <c r="H107" s="386">
        <f>+STW!H148</f>
        <v>631.92999999999995</v>
      </c>
      <c r="I107" s="386">
        <f>+STW!I148</f>
        <v>547.78</v>
      </c>
      <c r="J107" s="386">
        <f>+STW!J148</f>
        <v>545.24</v>
      </c>
      <c r="K107" s="386">
        <f>+STW!K148</f>
        <v>529.71</v>
      </c>
      <c r="L107" s="386">
        <f>+STW!L148</f>
        <v>575.5</v>
      </c>
      <c r="M107" s="386">
        <f>+STW!M148</f>
        <v>734.33</v>
      </c>
      <c r="N107" s="386">
        <f>+STW!N148</f>
        <v>397.25</v>
      </c>
      <c r="O107" s="386">
        <f>+STW!O148</f>
        <v>411.29</v>
      </c>
      <c r="P107" s="386">
        <f>+STW!P148</f>
        <v>446.73</v>
      </c>
      <c r="Q107" s="134">
        <f t="shared" si="21"/>
        <v>6703.33</v>
      </c>
      <c r="R107" s="134">
        <f t="shared" si="20"/>
        <v>17.73367724867725</v>
      </c>
      <c r="S107" s="148"/>
      <c r="T107" s="40" t="e">
        <f t="shared" si="19"/>
        <v>#DIV/0!</v>
      </c>
    </row>
    <row r="108" spans="1:20" s="77" customFormat="1" ht="25.4" customHeight="1">
      <c r="A108" s="3"/>
      <c r="B108" s="3"/>
      <c r="C108" s="3"/>
      <c r="D108" s="19" t="s">
        <v>276</v>
      </c>
      <c r="E108" s="151">
        <f>SUM(E39:E107)</f>
        <v>1608.5900000000001</v>
      </c>
      <c r="F108" s="151">
        <f t="shared" ref="F108:Q108" si="22">SUM(F39:F107)</f>
        <v>1617.55</v>
      </c>
      <c r="G108" s="151">
        <f t="shared" si="22"/>
        <v>1464.65</v>
      </c>
      <c r="H108" s="151">
        <f t="shared" si="22"/>
        <v>1538.21</v>
      </c>
      <c r="I108" s="151">
        <f t="shared" si="22"/>
        <v>1442.33</v>
      </c>
      <c r="J108" s="151">
        <f t="shared" si="22"/>
        <v>1379.88</v>
      </c>
      <c r="K108" s="151">
        <f t="shared" si="22"/>
        <v>1344.7</v>
      </c>
      <c r="L108" s="151">
        <f t="shared" si="22"/>
        <v>1392.8899999999999</v>
      </c>
      <c r="M108" s="151">
        <f t="shared" si="22"/>
        <v>1565.7</v>
      </c>
      <c r="N108" s="151">
        <f t="shared" si="22"/>
        <v>1285.44</v>
      </c>
      <c r="O108" s="151">
        <f t="shared" si="22"/>
        <v>1221.42</v>
      </c>
      <c r="P108" s="151">
        <f t="shared" si="22"/>
        <v>1249.93</v>
      </c>
      <c r="Q108" s="151">
        <f t="shared" si="22"/>
        <v>17111.29</v>
      </c>
      <c r="R108" s="134">
        <f t="shared" si="20"/>
        <v>45.267962962962969</v>
      </c>
      <c r="S108" s="148"/>
      <c r="T108" s="40" t="e">
        <f t="shared" si="19"/>
        <v>#DIV/0!</v>
      </c>
    </row>
    <row r="109" spans="1:20" s="77" customFormat="1" ht="25.4" customHeight="1">
      <c r="A109" s="3"/>
      <c r="B109" s="3"/>
      <c r="C109" s="3"/>
      <c r="D109" s="19" t="s">
        <v>277</v>
      </c>
      <c r="E109" s="151">
        <f t="shared" ref="E109:Q109" si="23">E28-E34-E36-E108</f>
        <v>-25274.19</v>
      </c>
      <c r="F109" s="151">
        <f t="shared" si="23"/>
        <v>-21665.599999999999</v>
      </c>
      <c r="G109" s="151">
        <f t="shared" si="23"/>
        <v>-21075.464999999997</v>
      </c>
      <c r="H109" s="151">
        <f t="shared" si="23"/>
        <v>-22451.02</v>
      </c>
      <c r="I109" s="151">
        <f t="shared" si="23"/>
        <v>-22926.129999999997</v>
      </c>
      <c r="J109" s="151">
        <f t="shared" si="23"/>
        <v>-20934.150000000001</v>
      </c>
      <c r="K109" s="151">
        <f t="shared" si="23"/>
        <v>-20843.634999999998</v>
      </c>
      <c r="L109" s="151">
        <f t="shared" si="23"/>
        <v>-20766.044999999998</v>
      </c>
      <c r="M109" s="151">
        <f t="shared" si="23"/>
        <v>-21292.105</v>
      </c>
      <c r="N109" s="151">
        <f t="shared" si="23"/>
        <v>-24647.194999999996</v>
      </c>
      <c r="O109" s="151">
        <f t="shared" si="23"/>
        <v>-20719.824999999997</v>
      </c>
      <c r="P109" s="151">
        <f t="shared" si="23"/>
        <v>-20619.824999999997</v>
      </c>
      <c r="Q109" s="151">
        <f t="shared" si="23"/>
        <v>-263215.18499999994</v>
      </c>
      <c r="R109" s="151"/>
      <c r="S109" s="148"/>
      <c r="T109" s="40" t="e">
        <f t="shared" ref="T109:T125" si="24">IF(Q109-S109=0,0,(Q109-S109)/S109)</f>
        <v>#DIV/0!</v>
      </c>
    </row>
    <row r="110" spans="1:20" s="77" customFormat="1" ht="25.4" customHeight="1">
      <c r="A110" s="3"/>
      <c r="B110" s="3"/>
      <c r="C110" s="3"/>
      <c r="D110" s="19" t="s">
        <v>278</v>
      </c>
      <c r="E110" s="129">
        <f t="shared" ref="E110:Q110" si="25">IF(E109=0,0,E109/E28)</f>
        <v>-4.6407869851820562</v>
      </c>
      <c r="F110" s="129">
        <f t="shared" si="25"/>
        <v>-4.2929380993897119</v>
      </c>
      <c r="G110" s="129">
        <f t="shared" si="25"/>
        <v>-3.8698270321881703</v>
      </c>
      <c r="H110" s="129">
        <f t="shared" si="25"/>
        <v>-4.2698782807151012</v>
      </c>
      <c r="I110" s="129">
        <f t="shared" si="25"/>
        <v>-4.2096417619948214</v>
      </c>
      <c r="J110" s="129">
        <f t="shared" si="25"/>
        <v>-3.9813902624572082</v>
      </c>
      <c r="K110" s="129">
        <f t="shared" si="25"/>
        <v>-3.8272589559501289</v>
      </c>
      <c r="L110" s="129">
        <f t="shared" si="25"/>
        <v>-3.8130120636785949</v>
      </c>
      <c r="M110" s="129">
        <f t="shared" si="25"/>
        <v>-4.0494684290604788</v>
      </c>
      <c r="N110" s="129">
        <f t="shared" si="25"/>
        <v>-4.5256596463524348</v>
      </c>
      <c r="O110" s="129">
        <f t="shared" si="25"/>
        <v>-3.940628565994674</v>
      </c>
      <c r="P110" s="129">
        <f t="shared" si="25"/>
        <v>-3.7861634931418804</v>
      </c>
      <c r="Q110" s="129">
        <f t="shared" si="25"/>
        <v>-4.0998292095979059</v>
      </c>
      <c r="R110" s="129"/>
      <c r="S110" s="40"/>
      <c r="T110" s="40" t="e">
        <f t="shared" si="24"/>
        <v>#DIV/0!</v>
      </c>
    </row>
    <row r="111" spans="1:20" s="77" customFormat="1" ht="25.4" customHeight="1">
      <c r="A111" s="3"/>
      <c r="B111" s="3"/>
      <c r="C111" s="3"/>
      <c r="D111" s="19" t="s">
        <v>424</v>
      </c>
      <c r="E111" s="3"/>
      <c r="F111" s="3"/>
      <c r="G111" s="3"/>
      <c r="H111" s="3"/>
      <c r="I111" s="3"/>
      <c r="J111" s="3"/>
      <c r="K111" s="3"/>
      <c r="L111" s="3"/>
      <c r="S111" s="148"/>
      <c r="T111" s="40">
        <f t="shared" si="24"/>
        <v>0</v>
      </c>
    </row>
    <row r="112" spans="1:20" s="77" customFormat="1" ht="25.4" customHeight="1">
      <c r="A112" s="50" t="s">
        <v>457</v>
      </c>
      <c r="B112" s="3" t="s">
        <v>393</v>
      </c>
      <c r="C112" s="3"/>
      <c r="D112" s="26" t="s">
        <v>440</v>
      </c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162">
        <f>SUM(E112:P112)</f>
        <v>0</v>
      </c>
      <c r="R112" s="162"/>
      <c r="S112" s="148"/>
      <c r="T112" s="40">
        <f t="shared" si="24"/>
        <v>0</v>
      </c>
    </row>
    <row r="113" spans="1:21" s="77" customFormat="1" ht="25.4" customHeight="1">
      <c r="A113" s="3" t="s">
        <v>458</v>
      </c>
      <c r="B113" s="3" t="s">
        <v>393</v>
      </c>
      <c r="C113" s="3"/>
      <c r="D113" s="26" t="s">
        <v>442</v>
      </c>
      <c r="E113" s="74">
        <v>10</v>
      </c>
      <c r="F113" s="74">
        <v>10</v>
      </c>
      <c r="G113" s="74">
        <v>10</v>
      </c>
      <c r="H113" s="74">
        <v>10</v>
      </c>
      <c r="I113" s="74">
        <v>10</v>
      </c>
      <c r="J113" s="74">
        <v>10</v>
      </c>
      <c r="K113" s="74">
        <v>10</v>
      </c>
      <c r="L113" s="74">
        <v>10</v>
      </c>
      <c r="M113" s="74">
        <v>10</v>
      </c>
      <c r="N113" s="74">
        <v>10</v>
      </c>
      <c r="O113" s="74">
        <v>10</v>
      </c>
      <c r="P113" s="74">
        <v>10</v>
      </c>
      <c r="Q113" s="162">
        <f t="shared" ref="Q113:Q116" si="26">SUM(E113:P113)</f>
        <v>120</v>
      </c>
      <c r="R113" s="162"/>
      <c r="S113" s="148"/>
      <c r="T113" s="40" t="e">
        <f t="shared" si="24"/>
        <v>#DIV/0!</v>
      </c>
    </row>
    <row r="114" spans="1:21" s="77" customFormat="1" ht="25.4" customHeight="1">
      <c r="A114" s="3" t="s">
        <v>459</v>
      </c>
      <c r="B114" s="3" t="s">
        <v>393</v>
      </c>
      <c r="C114" s="3"/>
      <c r="D114" s="26" t="s">
        <v>446</v>
      </c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62">
        <f t="shared" si="26"/>
        <v>0</v>
      </c>
      <c r="R114" s="162"/>
      <c r="S114" s="148"/>
      <c r="T114" s="40">
        <f>IF(S114&lt;&gt;0,(Q114-S114)/S114,1)</f>
        <v>1</v>
      </c>
    </row>
    <row r="115" spans="1:21" s="77" customFormat="1" ht="25.4" customHeight="1">
      <c r="A115" s="3" t="s">
        <v>460</v>
      </c>
      <c r="B115" s="3" t="s">
        <v>393</v>
      </c>
      <c r="C115" s="3"/>
      <c r="D115" s="26" t="s">
        <v>444</v>
      </c>
      <c r="E115" s="74">
        <v>22</v>
      </c>
      <c r="F115" s="74">
        <v>20</v>
      </c>
      <c r="G115" s="74">
        <v>22</v>
      </c>
      <c r="H115" s="74">
        <v>21</v>
      </c>
      <c r="I115" s="74">
        <v>22</v>
      </c>
      <c r="J115" s="74">
        <v>21</v>
      </c>
      <c r="K115" s="74">
        <v>22</v>
      </c>
      <c r="L115" s="74">
        <v>22</v>
      </c>
      <c r="M115" s="74">
        <v>21</v>
      </c>
      <c r="N115" s="74">
        <v>22</v>
      </c>
      <c r="O115" s="74">
        <v>21</v>
      </c>
      <c r="P115" s="74">
        <v>22</v>
      </c>
      <c r="Q115" s="162">
        <f t="shared" si="26"/>
        <v>258</v>
      </c>
      <c r="R115" s="162"/>
      <c r="S115" s="148"/>
      <c r="T115" s="40">
        <f>IF(S115&lt;&gt;0,(Q115-S115)/S115,1)</f>
        <v>1</v>
      </c>
    </row>
    <row r="116" spans="1:21" s="77" customFormat="1" ht="25.4" customHeight="1">
      <c r="A116" s="3" t="s">
        <v>461</v>
      </c>
      <c r="B116" s="3" t="s">
        <v>393</v>
      </c>
      <c r="C116" s="3"/>
      <c r="D116" s="26" t="s">
        <v>448</v>
      </c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162">
        <f t="shared" si="26"/>
        <v>0</v>
      </c>
      <c r="R116" s="162"/>
      <c r="S116" s="148"/>
      <c r="T116" s="40">
        <f t="shared" si="24"/>
        <v>0</v>
      </c>
    </row>
    <row r="117" spans="1:21" s="77" customFormat="1" ht="25.4" customHeight="1">
      <c r="A117" s="3"/>
      <c r="B117" s="3"/>
      <c r="C117" s="3"/>
      <c r="D117" s="19" t="s">
        <v>427</v>
      </c>
      <c r="E117" s="160">
        <f>SUM(E112:E116)</f>
        <v>32</v>
      </c>
      <c r="F117" s="160">
        <f t="shared" ref="F117:Q117" si="27">SUM(F112:F116)</f>
        <v>30</v>
      </c>
      <c r="G117" s="160">
        <f t="shared" si="27"/>
        <v>32</v>
      </c>
      <c r="H117" s="160">
        <f t="shared" si="27"/>
        <v>31</v>
      </c>
      <c r="I117" s="160">
        <f t="shared" si="27"/>
        <v>32</v>
      </c>
      <c r="J117" s="160">
        <f t="shared" si="27"/>
        <v>31</v>
      </c>
      <c r="K117" s="160">
        <f t="shared" si="27"/>
        <v>32</v>
      </c>
      <c r="L117" s="160">
        <f t="shared" si="27"/>
        <v>32</v>
      </c>
      <c r="M117" s="160">
        <f t="shared" si="27"/>
        <v>31</v>
      </c>
      <c r="N117" s="160">
        <f t="shared" si="27"/>
        <v>32</v>
      </c>
      <c r="O117" s="160">
        <f t="shared" si="27"/>
        <v>31</v>
      </c>
      <c r="P117" s="160">
        <f t="shared" si="27"/>
        <v>32</v>
      </c>
      <c r="Q117" s="320">
        <f t="shared" si="27"/>
        <v>378</v>
      </c>
      <c r="R117" s="160"/>
      <c r="S117" s="148"/>
      <c r="T117" s="40" t="e">
        <f t="shared" si="24"/>
        <v>#DIV/0!</v>
      </c>
    </row>
    <row r="118" spans="1:21" s="77" customFormat="1" ht="25.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S118" s="148"/>
      <c r="T118" s="40"/>
    </row>
    <row r="119" spans="1:21" s="77" customFormat="1" ht="25.4" customHeight="1">
      <c r="A119" s="3"/>
      <c r="B119" s="3"/>
      <c r="C119" s="3"/>
      <c r="D119" s="19" t="s">
        <v>428</v>
      </c>
      <c r="E119" s="3"/>
      <c r="F119" s="3"/>
      <c r="G119" s="3"/>
      <c r="H119" s="3"/>
      <c r="I119" s="3"/>
      <c r="J119" s="3"/>
      <c r="K119" s="3"/>
      <c r="L119" s="3"/>
      <c r="S119" s="148"/>
      <c r="T119" s="40"/>
    </row>
    <row r="120" spans="1:21" s="77" customFormat="1" ht="25.4" customHeight="1">
      <c r="A120" s="3"/>
      <c r="B120" s="3"/>
      <c r="C120" s="3"/>
      <c r="D120" s="26" t="s">
        <v>440</v>
      </c>
      <c r="E120" s="61">
        <f t="shared" ref="E120:Q120" si="28">IF(E112=0,0,ROUND(E12/E112,2))</f>
        <v>0</v>
      </c>
      <c r="F120" s="61">
        <f t="shared" si="28"/>
        <v>0</v>
      </c>
      <c r="G120" s="61">
        <f t="shared" si="28"/>
        <v>0</v>
      </c>
      <c r="H120" s="61">
        <f t="shared" si="28"/>
        <v>0</v>
      </c>
      <c r="I120" s="61">
        <f t="shared" si="28"/>
        <v>0</v>
      </c>
      <c r="J120" s="61">
        <f t="shared" si="28"/>
        <v>0</v>
      </c>
      <c r="K120" s="61">
        <f t="shared" si="28"/>
        <v>0</v>
      </c>
      <c r="L120" s="61">
        <f t="shared" si="28"/>
        <v>0</v>
      </c>
      <c r="M120" s="61">
        <f t="shared" si="28"/>
        <v>0</v>
      </c>
      <c r="N120" s="61">
        <f t="shared" si="28"/>
        <v>0</v>
      </c>
      <c r="O120" s="61">
        <f t="shared" si="28"/>
        <v>0</v>
      </c>
      <c r="P120" s="61">
        <f t="shared" si="28"/>
        <v>0</v>
      </c>
      <c r="Q120" s="61">
        <f t="shared" si="28"/>
        <v>0</v>
      </c>
      <c r="R120" s="163"/>
      <c r="S120" s="148"/>
      <c r="T120" s="40">
        <f t="shared" si="24"/>
        <v>0</v>
      </c>
    </row>
    <row r="121" spans="1:21" s="77" customFormat="1" ht="25.4" customHeight="1">
      <c r="A121" s="3"/>
      <c r="B121" s="3"/>
      <c r="C121" s="3"/>
      <c r="D121" s="26" t="s">
        <v>442</v>
      </c>
      <c r="E121" s="61">
        <f t="shared" ref="E121:Q121" si="29">IF(E113=0,0,ROUND(E13/E113,2))</f>
        <v>100</v>
      </c>
      <c r="F121" s="61">
        <f t="shared" si="29"/>
        <v>100</v>
      </c>
      <c r="G121" s="61">
        <f t="shared" si="29"/>
        <v>100</v>
      </c>
      <c r="H121" s="61">
        <f t="shared" si="29"/>
        <v>100</v>
      </c>
      <c r="I121" s="61">
        <f t="shared" si="29"/>
        <v>100</v>
      </c>
      <c r="J121" s="61">
        <f t="shared" si="29"/>
        <v>100</v>
      </c>
      <c r="K121" s="61">
        <f t="shared" si="29"/>
        <v>100</v>
      </c>
      <c r="L121" s="61">
        <f t="shared" si="29"/>
        <v>100</v>
      </c>
      <c r="M121" s="61">
        <f t="shared" si="29"/>
        <v>100</v>
      </c>
      <c r="N121" s="61">
        <f t="shared" si="29"/>
        <v>100</v>
      </c>
      <c r="O121" s="61">
        <f t="shared" si="29"/>
        <v>100</v>
      </c>
      <c r="P121" s="61">
        <f t="shared" si="29"/>
        <v>100</v>
      </c>
      <c r="Q121" s="61">
        <f t="shared" si="29"/>
        <v>100</v>
      </c>
      <c r="R121" s="163"/>
      <c r="S121" s="148"/>
      <c r="T121" s="40" t="e">
        <f t="shared" si="24"/>
        <v>#DIV/0!</v>
      </c>
    </row>
    <row r="122" spans="1:21" s="77" customFormat="1" ht="25.4" customHeight="1">
      <c r="A122" s="3"/>
      <c r="B122" s="3"/>
      <c r="C122" s="3"/>
      <c r="D122" s="26" t="s">
        <v>444</v>
      </c>
      <c r="E122" s="61">
        <f t="shared" ref="E122:Q122" si="30">IF(E115=0,0,ROUND(E14/E115,2))</f>
        <v>150</v>
      </c>
      <c r="F122" s="61">
        <f t="shared" si="30"/>
        <v>150</v>
      </c>
      <c r="G122" s="61">
        <f t="shared" si="30"/>
        <v>150</v>
      </c>
      <c r="H122" s="61">
        <f t="shared" si="30"/>
        <v>150</v>
      </c>
      <c r="I122" s="61">
        <f t="shared" si="30"/>
        <v>150</v>
      </c>
      <c r="J122" s="61">
        <f t="shared" si="30"/>
        <v>150</v>
      </c>
      <c r="K122" s="61">
        <f t="shared" si="30"/>
        <v>150</v>
      </c>
      <c r="L122" s="61">
        <f t="shared" si="30"/>
        <v>150</v>
      </c>
      <c r="M122" s="61">
        <f t="shared" si="30"/>
        <v>150</v>
      </c>
      <c r="N122" s="61">
        <f t="shared" si="30"/>
        <v>150</v>
      </c>
      <c r="O122" s="61">
        <f t="shared" si="30"/>
        <v>150</v>
      </c>
      <c r="P122" s="61">
        <f t="shared" si="30"/>
        <v>150</v>
      </c>
      <c r="Q122" s="61">
        <f t="shared" si="30"/>
        <v>150</v>
      </c>
      <c r="R122" s="163"/>
      <c r="S122" s="148"/>
      <c r="T122" s="40" t="e">
        <f t="shared" si="24"/>
        <v>#DIV/0!</v>
      </c>
    </row>
    <row r="123" spans="1:21" s="77" customFormat="1" ht="25.4" customHeight="1">
      <c r="A123" s="3"/>
      <c r="B123" s="3"/>
      <c r="C123" s="3"/>
      <c r="D123" s="26" t="s">
        <v>446</v>
      </c>
      <c r="E123" s="61">
        <f t="shared" ref="E123:Q123" si="31">IF(E114=0,0,ROUND(E15/E114,2))</f>
        <v>0</v>
      </c>
      <c r="F123" s="61">
        <f t="shared" si="31"/>
        <v>0</v>
      </c>
      <c r="G123" s="61">
        <f t="shared" si="31"/>
        <v>0</v>
      </c>
      <c r="H123" s="61">
        <f t="shared" si="31"/>
        <v>0</v>
      </c>
      <c r="I123" s="61">
        <f t="shared" si="31"/>
        <v>0</v>
      </c>
      <c r="J123" s="61">
        <f t="shared" si="31"/>
        <v>0</v>
      </c>
      <c r="K123" s="61">
        <f t="shared" si="31"/>
        <v>0</v>
      </c>
      <c r="L123" s="61">
        <f t="shared" si="31"/>
        <v>0</v>
      </c>
      <c r="M123" s="61">
        <f t="shared" si="31"/>
        <v>0</v>
      </c>
      <c r="N123" s="61">
        <f t="shared" si="31"/>
        <v>0</v>
      </c>
      <c r="O123" s="61">
        <f t="shared" si="31"/>
        <v>0</v>
      </c>
      <c r="P123" s="61">
        <f t="shared" si="31"/>
        <v>0</v>
      </c>
      <c r="Q123" s="61">
        <f t="shared" si="31"/>
        <v>0</v>
      </c>
      <c r="R123" s="163"/>
      <c r="S123" s="148"/>
      <c r="T123" s="40">
        <f t="shared" si="24"/>
        <v>0</v>
      </c>
    </row>
    <row r="124" spans="1:21" s="77" customFormat="1" ht="25.4" customHeight="1">
      <c r="A124" s="3"/>
      <c r="B124" s="3"/>
      <c r="C124" s="3"/>
      <c r="D124" s="26" t="s">
        <v>448</v>
      </c>
      <c r="E124" s="61">
        <f t="shared" ref="E124:Q124" si="32">IF(E116=0,0,ROUND(E16/E116,2))</f>
        <v>0</v>
      </c>
      <c r="F124" s="61">
        <f t="shared" si="32"/>
        <v>0</v>
      </c>
      <c r="G124" s="61">
        <f t="shared" si="32"/>
        <v>0</v>
      </c>
      <c r="H124" s="61">
        <f t="shared" si="32"/>
        <v>0</v>
      </c>
      <c r="I124" s="61">
        <f t="shared" si="32"/>
        <v>0</v>
      </c>
      <c r="J124" s="61">
        <f t="shared" si="32"/>
        <v>0</v>
      </c>
      <c r="K124" s="61">
        <f t="shared" si="32"/>
        <v>0</v>
      </c>
      <c r="L124" s="61">
        <f t="shared" si="32"/>
        <v>0</v>
      </c>
      <c r="M124" s="61">
        <f t="shared" si="32"/>
        <v>0</v>
      </c>
      <c r="N124" s="61">
        <f t="shared" si="32"/>
        <v>0</v>
      </c>
      <c r="O124" s="61">
        <f t="shared" si="32"/>
        <v>0</v>
      </c>
      <c r="P124" s="61">
        <f t="shared" si="32"/>
        <v>0</v>
      </c>
      <c r="Q124" s="61">
        <f t="shared" si="32"/>
        <v>0</v>
      </c>
      <c r="R124" s="163"/>
      <c r="S124" s="148"/>
      <c r="T124" s="40">
        <f t="shared" si="24"/>
        <v>0</v>
      </c>
    </row>
    <row r="125" spans="1:21" s="77" customFormat="1" ht="25.4" customHeight="1">
      <c r="A125" s="3"/>
      <c r="B125" s="3"/>
      <c r="C125" s="3"/>
      <c r="D125" s="19" t="s">
        <v>429</v>
      </c>
      <c r="E125" s="161">
        <f t="shared" ref="E125:Q125" si="33">IF(E117=0,0,ROUND(E17/E117,2))</f>
        <v>134.38</v>
      </c>
      <c r="F125" s="161">
        <f t="shared" si="33"/>
        <v>133.33000000000001</v>
      </c>
      <c r="G125" s="161">
        <f t="shared" si="33"/>
        <v>134.38</v>
      </c>
      <c r="H125" s="161">
        <f t="shared" si="33"/>
        <v>133.87</v>
      </c>
      <c r="I125" s="161">
        <f t="shared" si="33"/>
        <v>134.38</v>
      </c>
      <c r="J125" s="161">
        <f t="shared" si="33"/>
        <v>133.87</v>
      </c>
      <c r="K125" s="161">
        <f t="shared" si="33"/>
        <v>134.38</v>
      </c>
      <c r="L125" s="161">
        <f t="shared" si="33"/>
        <v>134.38</v>
      </c>
      <c r="M125" s="161">
        <f t="shared" si="33"/>
        <v>133.87</v>
      </c>
      <c r="N125" s="161">
        <f t="shared" si="33"/>
        <v>134.38</v>
      </c>
      <c r="O125" s="161">
        <f t="shared" si="33"/>
        <v>133.87</v>
      </c>
      <c r="P125" s="161">
        <f t="shared" si="33"/>
        <v>134.38</v>
      </c>
      <c r="Q125" s="321">
        <f t="shared" si="33"/>
        <v>134.13</v>
      </c>
      <c r="R125" s="164"/>
      <c r="S125" s="148"/>
      <c r="T125" s="40" t="e">
        <f t="shared" si="24"/>
        <v>#DIV/0!</v>
      </c>
    </row>
    <row r="126" spans="1:21" s="77" customFormat="1" ht="25.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S126" s="148"/>
      <c r="T126" s="40"/>
    </row>
    <row r="127" spans="1:21" s="77" customFormat="1" ht="25.4" customHeight="1">
      <c r="A127" s="3"/>
      <c r="B127" s="3"/>
      <c r="C127" s="3"/>
      <c r="D127" s="19" t="s">
        <v>430</v>
      </c>
      <c r="E127" s="151">
        <f t="shared" ref="E127:Q127" si="34">IF(E117=0,0,ROUND((E34+E36+E108)/E117,2))</f>
        <v>960.01</v>
      </c>
      <c r="F127" s="151">
        <f t="shared" si="34"/>
        <v>890.41</v>
      </c>
      <c r="G127" s="151">
        <f t="shared" si="34"/>
        <v>828.8</v>
      </c>
      <c r="H127" s="151">
        <f t="shared" si="34"/>
        <v>893.84</v>
      </c>
      <c r="I127" s="151">
        <f t="shared" si="34"/>
        <v>886.63</v>
      </c>
      <c r="J127" s="151">
        <f t="shared" si="34"/>
        <v>844.91</v>
      </c>
      <c r="K127" s="151">
        <f t="shared" si="34"/>
        <v>821.55</v>
      </c>
      <c r="L127" s="151">
        <f t="shared" si="34"/>
        <v>819.13</v>
      </c>
      <c r="M127" s="151">
        <f t="shared" si="34"/>
        <v>856.46</v>
      </c>
      <c r="N127" s="151">
        <f t="shared" si="34"/>
        <v>940.42</v>
      </c>
      <c r="O127" s="151">
        <f t="shared" si="34"/>
        <v>837.99</v>
      </c>
      <c r="P127" s="151">
        <f t="shared" si="34"/>
        <v>814.56</v>
      </c>
      <c r="Q127" s="151">
        <f t="shared" si="34"/>
        <v>866.18</v>
      </c>
      <c r="R127" s="151"/>
      <c r="S127" s="148"/>
      <c r="T127" s="40" t="e">
        <f>-IF(Q127-S127=0,0,(Q127-S127)/S127)</f>
        <v>#DIV/0!</v>
      </c>
      <c r="U127" s="319" t="s">
        <v>1160</v>
      </c>
    </row>
    <row r="128" spans="1:21" s="77" customFormat="1" ht="25.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S128" s="148"/>
      <c r="T128" s="40"/>
    </row>
    <row r="129" spans="1:20" s="77" customFormat="1" ht="25.4" customHeight="1">
      <c r="A129" s="3"/>
      <c r="B129" s="3"/>
      <c r="C129" s="3"/>
      <c r="D129" s="19" t="s">
        <v>295</v>
      </c>
      <c r="E129" s="3"/>
      <c r="F129" s="3"/>
      <c r="G129" s="3"/>
      <c r="H129" s="3"/>
      <c r="I129" s="3"/>
      <c r="J129" s="3"/>
      <c r="K129" s="3"/>
      <c r="L129" s="3"/>
      <c r="S129" s="148"/>
      <c r="T129" s="40"/>
    </row>
    <row r="130" spans="1:20" s="77" customFormat="1" ht="25.4" customHeight="1">
      <c r="A130" s="3"/>
      <c r="B130" s="3"/>
      <c r="C130" s="3"/>
      <c r="D130" s="19" t="s">
        <v>431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S130" s="148"/>
      <c r="T130" s="40"/>
    </row>
    <row r="131" spans="1:20" s="77" customFormat="1" ht="25.4" customHeight="1">
      <c r="A131" s="3" t="s">
        <v>297</v>
      </c>
      <c r="B131" s="3" t="s">
        <v>393</v>
      </c>
      <c r="C131" s="3"/>
      <c r="D131" s="3" t="s">
        <v>299</v>
      </c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>
        <f>SUM(E131:P131)</f>
        <v>0</v>
      </c>
      <c r="R131" s="134">
        <f>Q131/$Q$117</f>
        <v>0</v>
      </c>
      <c r="S131" s="148"/>
      <c r="T131" s="40">
        <f>-IF(Q131-S131=0,0,(Q131-S131)/S131)</f>
        <v>0</v>
      </c>
    </row>
    <row r="132" spans="1:20" s="77" customFormat="1" ht="25.4" customHeight="1">
      <c r="A132" s="50" t="s">
        <v>300</v>
      </c>
      <c r="B132" s="3" t="s">
        <v>393</v>
      </c>
      <c r="C132" s="3"/>
      <c r="D132" s="3" t="s">
        <v>434</v>
      </c>
      <c r="E132" s="61">
        <v>14500</v>
      </c>
      <c r="F132" s="61">
        <v>14500</v>
      </c>
      <c r="G132" s="61">
        <v>14500</v>
      </c>
      <c r="H132" s="61">
        <v>14500</v>
      </c>
      <c r="I132" s="61">
        <v>14500</v>
      </c>
      <c r="J132" s="61">
        <v>14500</v>
      </c>
      <c r="K132" s="61">
        <v>14500</v>
      </c>
      <c r="L132" s="61">
        <v>14500</v>
      </c>
      <c r="M132" s="61">
        <v>14500</v>
      </c>
      <c r="N132" s="61">
        <v>14500</v>
      </c>
      <c r="O132" s="61">
        <v>14500</v>
      </c>
      <c r="P132" s="61">
        <v>14500</v>
      </c>
      <c r="Q132" s="134">
        <f t="shared" ref="Q132:Q133" si="35">SUM(E132:P132)</f>
        <v>174000</v>
      </c>
      <c r="R132" s="134">
        <f>Q132/$Q$117</f>
        <v>460.3174603174603</v>
      </c>
      <c r="S132" s="148"/>
      <c r="T132" s="40"/>
    </row>
    <row r="133" spans="1:20" s="77" customFormat="1" ht="25.4" customHeight="1">
      <c r="A133" s="50" t="s">
        <v>300</v>
      </c>
      <c r="B133" s="3" t="s">
        <v>393</v>
      </c>
      <c r="C133" s="3"/>
      <c r="D133" s="3" t="s">
        <v>436</v>
      </c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134">
        <f t="shared" si="35"/>
        <v>0</v>
      </c>
      <c r="R133" s="134">
        <f>Q133/$Q$117</f>
        <v>0</v>
      </c>
      <c r="S133" s="148"/>
      <c r="T133" s="40">
        <f t="shared" ref="T133:T165" si="36">-IF(Q133-S133=0,0,(Q133-S133)/S133)</f>
        <v>0</v>
      </c>
    </row>
    <row r="134" spans="1:20" s="77" customFormat="1" ht="25.4" customHeight="1">
      <c r="A134" s="3"/>
      <c r="B134" s="3"/>
      <c r="C134" s="3"/>
      <c r="D134" s="19" t="s">
        <v>437</v>
      </c>
      <c r="E134" s="151">
        <f>SUM(E131:E133)</f>
        <v>14500</v>
      </c>
      <c r="F134" s="151">
        <f t="shared" ref="F134:P134" si="37">SUM(F131:F133)</f>
        <v>14500</v>
      </c>
      <c r="G134" s="151">
        <f t="shared" si="37"/>
        <v>14500</v>
      </c>
      <c r="H134" s="151">
        <f t="shared" si="37"/>
        <v>14500</v>
      </c>
      <c r="I134" s="151">
        <f t="shared" si="37"/>
        <v>14500</v>
      </c>
      <c r="J134" s="151">
        <f t="shared" si="37"/>
        <v>14500</v>
      </c>
      <c r="K134" s="151">
        <f t="shared" si="37"/>
        <v>14500</v>
      </c>
      <c r="L134" s="151">
        <f t="shared" si="37"/>
        <v>14500</v>
      </c>
      <c r="M134" s="151">
        <f t="shared" si="37"/>
        <v>14500</v>
      </c>
      <c r="N134" s="151">
        <f t="shared" si="37"/>
        <v>14500</v>
      </c>
      <c r="O134" s="151">
        <f t="shared" si="37"/>
        <v>14500</v>
      </c>
      <c r="P134" s="151">
        <f t="shared" si="37"/>
        <v>14500</v>
      </c>
      <c r="Q134" s="151">
        <f t="shared" ref="Q134" si="38">SUM(Q131:Q133)</f>
        <v>174000</v>
      </c>
      <c r="R134" s="134">
        <f>Q134/$Q$117</f>
        <v>460.3174603174603</v>
      </c>
      <c r="S134" s="148"/>
      <c r="T134" s="40"/>
    </row>
    <row r="135" spans="1:20" s="77" customFormat="1" ht="25.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S135" s="148"/>
      <c r="T135" s="40"/>
    </row>
    <row r="136" spans="1:20" s="77" customFormat="1" ht="25.4" customHeight="1">
      <c r="A136" s="3" t="s">
        <v>308</v>
      </c>
      <c r="B136" s="3" t="s">
        <v>393</v>
      </c>
      <c r="C136" s="3"/>
      <c r="D136" s="26" t="s">
        <v>309</v>
      </c>
      <c r="E136" s="61">
        <v>4000</v>
      </c>
      <c r="F136" s="61">
        <v>0</v>
      </c>
      <c r="G136" s="61">
        <v>0</v>
      </c>
      <c r="H136" s="61">
        <v>1199.99</v>
      </c>
      <c r="I136" s="61">
        <v>2000</v>
      </c>
      <c r="J136" s="61">
        <v>0</v>
      </c>
      <c r="K136" s="61">
        <v>0</v>
      </c>
      <c r="L136" s="61">
        <v>0</v>
      </c>
      <c r="M136" s="61">
        <v>0</v>
      </c>
      <c r="N136" s="61">
        <v>4000</v>
      </c>
      <c r="O136" s="61">
        <v>0</v>
      </c>
      <c r="P136" s="61">
        <v>0</v>
      </c>
      <c r="Q136" s="134">
        <f>SUM(E136:P136)</f>
        <v>11199.99</v>
      </c>
      <c r="R136" s="134">
        <f t="shared" ref="R136:R143" si="39">Q136/$Q$117</f>
        <v>29.629603174603172</v>
      </c>
      <c r="S136" s="148"/>
      <c r="T136" s="40" t="e">
        <f t="shared" si="36"/>
        <v>#DIV/0!</v>
      </c>
    </row>
    <row r="137" spans="1:20" s="77" customFormat="1" ht="25.4" customHeight="1">
      <c r="A137" s="3" t="s">
        <v>310</v>
      </c>
      <c r="B137" s="3" t="s">
        <v>393</v>
      </c>
      <c r="C137" s="3"/>
      <c r="D137" s="26" t="s">
        <v>311</v>
      </c>
      <c r="E137" s="61">
        <v>181.25</v>
      </c>
      <c r="F137" s="61">
        <v>181.25</v>
      </c>
      <c r="G137" s="61">
        <v>181.25</v>
      </c>
      <c r="H137" s="61">
        <v>181.25</v>
      </c>
      <c r="I137" s="61">
        <v>181.25</v>
      </c>
      <c r="J137" s="61">
        <v>181.25</v>
      </c>
      <c r="K137" s="61">
        <v>181.25</v>
      </c>
      <c r="L137" s="61">
        <v>181.25</v>
      </c>
      <c r="M137" s="61">
        <v>181.25</v>
      </c>
      <c r="N137" s="61">
        <v>181.25</v>
      </c>
      <c r="O137" s="61">
        <v>181.25</v>
      </c>
      <c r="P137" s="61">
        <v>181.25</v>
      </c>
      <c r="Q137" s="134">
        <f t="shared" ref="Q137:Q140" si="40">SUM(E137:P137)</f>
        <v>2175</v>
      </c>
      <c r="R137" s="134">
        <f t="shared" si="39"/>
        <v>5.753968253968254</v>
      </c>
      <c r="S137" s="148"/>
      <c r="T137" s="40" t="e">
        <f t="shared" si="36"/>
        <v>#DIV/0!</v>
      </c>
    </row>
    <row r="138" spans="1:20" s="77" customFormat="1" ht="25.4" customHeight="1">
      <c r="A138" s="3" t="s">
        <v>312</v>
      </c>
      <c r="B138" s="3" t="s">
        <v>393</v>
      </c>
      <c r="C138" s="3"/>
      <c r="D138" s="26" t="s">
        <v>313</v>
      </c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134">
        <f t="shared" si="40"/>
        <v>0</v>
      </c>
      <c r="R138" s="134">
        <f t="shared" si="39"/>
        <v>0</v>
      </c>
      <c r="S138" s="148"/>
      <c r="T138" s="40">
        <f t="shared" si="36"/>
        <v>0</v>
      </c>
    </row>
    <row r="139" spans="1:20" s="77" customFormat="1" ht="25.4" customHeight="1">
      <c r="A139" s="3" t="s">
        <v>314</v>
      </c>
      <c r="B139" s="3" t="s">
        <v>393</v>
      </c>
      <c r="C139" s="3"/>
      <c r="D139" s="26" t="s">
        <v>315</v>
      </c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134">
        <f t="shared" si="40"/>
        <v>0</v>
      </c>
      <c r="R139" s="134">
        <f t="shared" si="39"/>
        <v>0</v>
      </c>
      <c r="S139" s="148"/>
      <c r="T139" s="40">
        <f t="shared" si="36"/>
        <v>0</v>
      </c>
    </row>
    <row r="140" spans="1:20" s="77" customFormat="1" ht="25.4" customHeight="1">
      <c r="A140" s="3" t="s">
        <v>316</v>
      </c>
      <c r="B140" s="3" t="s">
        <v>393</v>
      </c>
      <c r="C140" s="3"/>
      <c r="D140" s="26" t="s">
        <v>317</v>
      </c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134">
        <f t="shared" si="40"/>
        <v>0</v>
      </c>
      <c r="R140" s="134">
        <f t="shared" si="39"/>
        <v>0</v>
      </c>
      <c r="S140" s="148"/>
      <c r="T140" s="40"/>
    </row>
    <row r="141" spans="1:20" s="77" customFormat="1" ht="25.4" customHeight="1">
      <c r="A141" s="3" t="s">
        <v>1066</v>
      </c>
      <c r="B141" s="3" t="s">
        <v>368</v>
      </c>
      <c r="C141" s="3"/>
      <c r="D141" s="26" t="s">
        <v>1132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134">
        <f t="shared" ref="Q141:Q142" si="41">SUM(E141:P141)</f>
        <v>0</v>
      </c>
      <c r="R141" s="134">
        <f t="shared" si="39"/>
        <v>0</v>
      </c>
      <c r="S141" s="148"/>
      <c r="T141" s="40"/>
    </row>
    <row r="142" spans="1:20" s="77" customFormat="1" ht="25.4" customHeight="1">
      <c r="A142" s="3" t="s">
        <v>1066</v>
      </c>
      <c r="B142" s="3" t="s">
        <v>368</v>
      </c>
      <c r="C142" s="3"/>
      <c r="D142" s="26" t="s">
        <v>1239</v>
      </c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134">
        <f t="shared" si="41"/>
        <v>0</v>
      </c>
      <c r="R142" s="134">
        <f t="shared" si="39"/>
        <v>0</v>
      </c>
      <c r="S142" s="148"/>
      <c r="T142" s="40"/>
    </row>
    <row r="143" spans="1:20" s="77" customFormat="1" ht="25.4" customHeight="1">
      <c r="A143" s="3"/>
      <c r="B143" s="3"/>
      <c r="C143" s="3"/>
      <c r="D143" s="19" t="s">
        <v>318</v>
      </c>
      <c r="E143" s="151">
        <f>SUM(E136:E142)</f>
        <v>4181.25</v>
      </c>
      <c r="F143" s="151">
        <f t="shared" ref="F143:P143" si="42">SUM(F136:F142)</f>
        <v>181.25</v>
      </c>
      <c r="G143" s="151">
        <f t="shared" si="42"/>
        <v>181.25</v>
      </c>
      <c r="H143" s="151">
        <f t="shared" si="42"/>
        <v>1381.24</v>
      </c>
      <c r="I143" s="151">
        <f t="shared" si="42"/>
        <v>2181.25</v>
      </c>
      <c r="J143" s="151">
        <f t="shared" si="42"/>
        <v>181.25</v>
      </c>
      <c r="K143" s="151">
        <f t="shared" si="42"/>
        <v>181.25</v>
      </c>
      <c r="L143" s="151">
        <f t="shared" si="42"/>
        <v>181.25</v>
      </c>
      <c r="M143" s="151">
        <f t="shared" si="42"/>
        <v>181.25</v>
      </c>
      <c r="N143" s="151">
        <f t="shared" si="42"/>
        <v>4181.25</v>
      </c>
      <c r="O143" s="151">
        <f t="shared" si="42"/>
        <v>181.25</v>
      </c>
      <c r="P143" s="151">
        <f t="shared" si="42"/>
        <v>181.25</v>
      </c>
      <c r="Q143" s="151">
        <f t="shared" ref="Q143" si="43">SUM(Q136:Q142)</f>
        <v>13374.99</v>
      </c>
      <c r="R143" s="134">
        <f t="shared" si="39"/>
        <v>35.383571428571429</v>
      </c>
      <c r="S143" s="148"/>
      <c r="T143" s="40"/>
    </row>
    <row r="144" spans="1:20" s="77" customFormat="1" ht="25.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S144" s="148"/>
      <c r="T144" s="40"/>
    </row>
    <row r="145" spans="1:20" s="77" customFormat="1" ht="25.4" customHeight="1">
      <c r="A145" s="3" t="s">
        <v>319</v>
      </c>
      <c r="B145" s="3" t="s">
        <v>393</v>
      </c>
      <c r="C145" s="3"/>
      <c r="D145" s="26" t="s">
        <v>320</v>
      </c>
      <c r="E145" s="61">
        <v>2188.8000000000002</v>
      </c>
      <c r="F145" s="61">
        <v>2188.8000000000002</v>
      </c>
      <c r="G145" s="61">
        <v>2188.8000000000002</v>
      </c>
      <c r="H145" s="61">
        <v>2188.8000000000002</v>
      </c>
      <c r="I145" s="61">
        <v>2188.8000000000002</v>
      </c>
      <c r="J145" s="61">
        <v>2188.8000000000002</v>
      </c>
      <c r="K145" s="61">
        <v>2188.8000000000002</v>
      </c>
      <c r="L145" s="61">
        <v>2188.8000000000002</v>
      </c>
      <c r="M145" s="61">
        <v>2188.8000000000002</v>
      </c>
      <c r="N145" s="61">
        <v>2188.8000000000002</v>
      </c>
      <c r="O145" s="61">
        <v>2188.8000000000002</v>
      </c>
      <c r="P145" s="61">
        <v>2188.8000000000002</v>
      </c>
      <c r="Q145" s="134">
        <f>SUM(E145:P145)</f>
        <v>26265.599999999995</v>
      </c>
      <c r="R145" s="134">
        <f t="shared" ref="R145:R153" si="44">Q145/$Q$117</f>
        <v>69.485714285714266</v>
      </c>
      <c r="S145" s="148"/>
      <c r="T145" s="40" t="e">
        <f t="shared" si="36"/>
        <v>#DIV/0!</v>
      </c>
    </row>
    <row r="146" spans="1:20" s="77" customFormat="1" ht="25.4" customHeight="1">
      <c r="A146" s="3" t="s">
        <v>321</v>
      </c>
      <c r="B146" s="3" t="s">
        <v>393</v>
      </c>
      <c r="C146" s="3"/>
      <c r="D146" s="26" t="s">
        <v>322</v>
      </c>
      <c r="E146" s="61">
        <v>870</v>
      </c>
      <c r="F146" s="61">
        <v>870</v>
      </c>
      <c r="G146" s="61">
        <v>870</v>
      </c>
      <c r="H146" s="61">
        <v>870</v>
      </c>
      <c r="I146" s="61">
        <v>870</v>
      </c>
      <c r="J146" s="61">
        <v>870</v>
      </c>
      <c r="K146" s="61">
        <v>870</v>
      </c>
      <c r="L146" s="61">
        <v>870</v>
      </c>
      <c r="M146" s="61">
        <v>870</v>
      </c>
      <c r="N146" s="61">
        <v>870</v>
      </c>
      <c r="O146" s="61">
        <v>870</v>
      </c>
      <c r="P146" s="61">
        <v>870</v>
      </c>
      <c r="Q146" s="134">
        <f t="shared" ref="Q146:Q152" si="45">SUM(E146:P146)</f>
        <v>10440</v>
      </c>
      <c r="R146" s="134">
        <f t="shared" si="44"/>
        <v>27.61904761904762</v>
      </c>
      <c r="S146" s="148"/>
      <c r="T146" s="40" t="e">
        <f t="shared" si="36"/>
        <v>#DIV/0!</v>
      </c>
    </row>
    <row r="147" spans="1:20" s="77" customFormat="1" ht="25.4" customHeight="1">
      <c r="A147" s="3" t="s">
        <v>323</v>
      </c>
      <c r="B147" s="3" t="s">
        <v>393</v>
      </c>
      <c r="C147" s="3"/>
      <c r="D147" s="26" t="s">
        <v>324</v>
      </c>
      <c r="E147" s="61">
        <v>116</v>
      </c>
      <c r="F147" s="61">
        <v>116</v>
      </c>
      <c r="G147" s="61">
        <v>116</v>
      </c>
      <c r="H147" s="61">
        <v>116</v>
      </c>
      <c r="I147" s="61">
        <v>116</v>
      </c>
      <c r="J147" s="61">
        <v>116</v>
      </c>
      <c r="K147" s="61">
        <v>116</v>
      </c>
      <c r="L147" s="61">
        <v>116</v>
      </c>
      <c r="M147" s="61">
        <v>116</v>
      </c>
      <c r="N147" s="61">
        <v>116</v>
      </c>
      <c r="O147" s="61">
        <v>116</v>
      </c>
      <c r="P147" s="61">
        <v>116</v>
      </c>
      <c r="Q147" s="134">
        <f t="shared" si="45"/>
        <v>1392</v>
      </c>
      <c r="R147" s="134">
        <f t="shared" si="44"/>
        <v>3.6825396825396823</v>
      </c>
      <c r="S147" s="148"/>
      <c r="T147" s="40" t="e">
        <f t="shared" si="36"/>
        <v>#DIV/0!</v>
      </c>
    </row>
    <row r="148" spans="1:20" s="77" customFormat="1" ht="25.4" customHeight="1">
      <c r="A148" s="3" t="s">
        <v>325</v>
      </c>
      <c r="B148" s="3" t="s">
        <v>393</v>
      </c>
      <c r="C148" s="3"/>
      <c r="D148" s="26" t="s">
        <v>326</v>
      </c>
      <c r="E148" s="61">
        <v>58</v>
      </c>
      <c r="F148" s="61">
        <v>58</v>
      </c>
      <c r="G148" s="61">
        <v>58</v>
      </c>
      <c r="H148" s="61">
        <v>58</v>
      </c>
      <c r="I148" s="61">
        <v>58</v>
      </c>
      <c r="J148" s="61">
        <v>58</v>
      </c>
      <c r="K148" s="61">
        <v>58</v>
      </c>
      <c r="L148" s="61">
        <v>58</v>
      </c>
      <c r="M148" s="61">
        <v>58</v>
      </c>
      <c r="N148" s="61">
        <v>58</v>
      </c>
      <c r="O148" s="61">
        <v>58</v>
      </c>
      <c r="P148" s="61">
        <v>58</v>
      </c>
      <c r="Q148" s="134">
        <f t="shared" si="45"/>
        <v>696</v>
      </c>
      <c r="R148" s="134">
        <f t="shared" si="44"/>
        <v>1.8412698412698412</v>
      </c>
      <c r="S148" s="148"/>
      <c r="T148" s="40" t="e">
        <f t="shared" si="36"/>
        <v>#DIV/0!</v>
      </c>
    </row>
    <row r="149" spans="1:20" s="77" customFormat="1" ht="25.4" customHeight="1">
      <c r="A149" s="3" t="s">
        <v>327</v>
      </c>
      <c r="B149" s="3" t="s">
        <v>393</v>
      </c>
      <c r="C149" s="3"/>
      <c r="D149" s="26" t="s">
        <v>328</v>
      </c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134">
        <f t="shared" si="45"/>
        <v>0</v>
      </c>
      <c r="R149" s="134">
        <f t="shared" si="44"/>
        <v>0</v>
      </c>
      <c r="S149" s="148"/>
      <c r="T149" s="40">
        <f t="shared" si="36"/>
        <v>0</v>
      </c>
    </row>
    <row r="150" spans="1:20" s="77" customFormat="1" ht="25.4" customHeight="1">
      <c r="A150" s="3" t="s">
        <v>329</v>
      </c>
      <c r="B150" s="3" t="s">
        <v>393</v>
      </c>
      <c r="C150" s="3"/>
      <c r="D150" s="26" t="s">
        <v>330</v>
      </c>
      <c r="E150" s="61">
        <v>1160</v>
      </c>
      <c r="F150" s="61">
        <v>1160</v>
      </c>
      <c r="G150" s="61">
        <v>1160</v>
      </c>
      <c r="H150" s="61">
        <v>1160</v>
      </c>
      <c r="I150" s="61">
        <v>1160</v>
      </c>
      <c r="J150" s="61">
        <v>1160</v>
      </c>
      <c r="K150" s="61">
        <v>1160</v>
      </c>
      <c r="L150" s="61">
        <v>1160</v>
      </c>
      <c r="M150" s="61">
        <v>1160</v>
      </c>
      <c r="N150" s="61">
        <v>1160</v>
      </c>
      <c r="O150" s="61">
        <v>1160</v>
      </c>
      <c r="P150" s="61">
        <v>1160</v>
      </c>
      <c r="Q150" s="134">
        <f t="shared" si="45"/>
        <v>13920</v>
      </c>
      <c r="R150" s="134">
        <f t="shared" si="44"/>
        <v>36.825396825396822</v>
      </c>
      <c r="S150" s="148"/>
      <c r="T150" s="40" t="e">
        <f t="shared" si="36"/>
        <v>#DIV/0!</v>
      </c>
    </row>
    <row r="151" spans="1:20" s="77" customFormat="1" ht="25.4" customHeight="1">
      <c r="A151" s="3" t="s">
        <v>331</v>
      </c>
      <c r="B151" s="3" t="s">
        <v>403</v>
      </c>
      <c r="C151" s="3"/>
      <c r="D151" s="26" t="s">
        <v>332</v>
      </c>
      <c r="E151" s="61">
        <v>290</v>
      </c>
      <c r="F151" s="61">
        <v>290</v>
      </c>
      <c r="G151" s="61">
        <v>290</v>
      </c>
      <c r="H151" s="61">
        <v>290</v>
      </c>
      <c r="I151" s="61">
        <v>290</v>
      </c>
      <c r="J151" s="61">
        <v>290</v>
      </c>
      <c r="K151" s="61">
        <v>290</v>
      </c>
      <c r="L151" s="61">
        <v>290</v>
      </c>
      <c r="M151" s="61">
        <v>290</v>
      </c>
      <c r="N151" s="61">
        <v>290</v>
      </c>
      <c r="O151" s="61">
        <v>290</v>
      </c>
      <c r="P151" s="61">
        <v>290</v>
      </c>
      <c r="Q151" s="134">
        <f t="shared" si="45"/>
        <v>3480</v>
      </c>
      <c r="R151" s="134">
        <f t="shared" si="44"/>
        <v>9.2063492063492056</v>
      </c>
      <c r="S151" s="148"/>
      <c r="T151" s="40" t="e">
        <f t="shared" si="36"/>
        <v>#DIV/0!</v>
      </c>
    </row>
    <row r="152" spans="1:20" s="77" customFormat="1" ht="25.4" customHeight="1">
      <c r="A152" s="3" t="s">
        <v>333</v>
      </c>
      <c r="B152" s="3" t="s">
        <v>403</v>
      </c>
      <c r="C152" s="3"/>
      <c r="D152" s="26" t="s">
        <v>334</v>
      </c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134">
        <f t="shared" si="45"/>
        <v>0</v>
      </c>
      <c r="R152" s="134">
        <f t="shared" si="44"/>
        <v>0</v>
      </c>
      <c r="S152" s="148"/>
      <c r="T152" s="40">
        <f t="shared" si="36"/>
        <v>0</v>
      </c>
    </row>
    <row r="153" spans="1:20" s="77" customFormat="1" ht="25.4" customHeight="1">
      <c r="A153" s="3"/>
      <c r="B153" s="3"/>
      <c r="C153" s="3"/>
      <c r="D153" s="19" t="s">
        <v>335</v>
      </c>
      <c r="E153" s="151">
        <f>SUM(E145:E152)</f>
        <v>4682.8</v>
      </c>
      <c r="F153" s="151">
        <f t="shared" ref="F153:P153" si="46">SUM(F145:F152)</f>
        <v>4682.8</v>
      </c>
      <c r="G153" s="151">
        <f t="shared" si="46"/>
        <v>4682.8</v>
      </c>
      <c r="H153" s="151">
        <f t="shared" si="46"/>
        <v>4682.8</v>
      </c>
      <c r="I153" s="151">
        <f t="shared" si="46"/>
        <v>4682.8</v>
      </c>
      <c r="J153" s="151">
        <f t="shared" si="46"/>
        <v>4682.8</v>
      </c>
      <c r="K153" s="151">
        <f t="shared" si="46"/>
        <v>4682.8</v>
      </c>
      <c r="L153" s="151">
        <f t="shared" si="46"/>
        <v>4682.8</v>
      </c>
      <c r="M153" s="151">
        <f t="shared" si="46"/>
        <v>4682.8</v>
      </c>
      <c r="N153" s="151">
        <f t="shared" si="46"/>
        <v>4682.8</v>
      </c>
      <c r="O153" s="151">
        <f t="shared" si="46"/>
        <v>4682.8</v>
      </c>
      <c r="P153" s="151">
        <f t="shared" si="46"/>
        <v>4682.8</v>
      </c>
      <c r="Q153" s="151">
        <f t="shared" ref="Q153" si="47">SUM(Q145:Q152)</f>
        <v>56193.599999999991</v>
      </c>
      <c r="R153" s="134">
        <f t="shared" si="44"/>
        <v>148.66031746031743</v>
      </c>
      <c r="S153" s="148"/>
      <c r="T153" s="40" t="e">
        <f t="shared" si="36"/>
        <v>#DIV/0!</v>
      </c>
    </row>
    <row r="154" spans="1:20" s="77" customFormat="1" ht="25.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S154" s="148"/>
      <c r="T154" s="40"/>
    </row>
    <row r="155" spans="1:20" s="77" customFormat="1" ht="25.4" hidden="1" customHeight="1">
      <c r="A155" s="3" t="s">
        <v>336</v>
      </c>
      <c r="B155" s="3" t="s">
        <v>403</v>
      </c>
      <c r="C155" s="3"/>
      <c r="D155" s="26" t="s">
        <v>337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134">
        <f>SUM(E155:P155)</f>
        <v>0</v>
      </c>
      <c r="R155" s="134"/>
      <c r="S155" s="148"/>
      <c r="T155" s="40">
        <f t="shared" si="36"/>
        <v>0</v>
      </c>
    </row>
    <row r="156" spans="1:20" s="77" customFormat="1" ht="25.4" hidden="1" customHeight="1">
      <c r="A156" s="3" t="s">
        <v>338</v>
      </c>
      <c r="B156" s="3" t="s">
        <v>403</v>
      </c>
      <c r="C156" s="3"/>
      <c r="D156" s="3" t="s">
        <v>339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61">
        <v>0</v>
      </c>
      <c r="K156" s="61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134">
        <f t="shared" ref="Q156:Q161" si="48">SUM(E156:P156)</f>
        <v>0</v>
      </c>
      <c r="R156" s="134"/>
      <c r="S156" s="148"/>
      <c r="T156" s="40">
        <f t="shared" si="36"/>
        <v>0</v>
      </c>
    </row>
    <row r="157" spans="1:20" s="77" customFormat="1" ht="25.4" hidden="1" customHeight="1">
      <c r="A157" s="3" t="s">
        <v>340</v>
      </c>
      <c r="B157" s="3" t="s">
        <v>403</v>
      </c>
      <c r="C157" s="3"/>
      <c r="D157" s="26" t="s">
        <v>341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134">
        <f t="shared" si="48"/>
        <v>0</v>
      </c>
      <c r="R157" s="134"/>
      <c r="S157" s="148"/>
      <c r="T157" s="40">
        <f t="shared" si="36"/>
        <v>0</v>
      </c>
    </row>
    <row r="158" spans="1:20" s="77" customFormat="1" ht="25.4" hidden="1" customHeight="1">
      <c r="A158" s="3" t="s">
        <v>342</v>
      </c>
      <c r="B158" s="3" t="s">
        <v>403</v>
      </c>
      <c r="C158" s="3"/>
      <c r="D158" s="26" t="s">
        <v>343</v>
      </c>
      <c r="E158" s="61">
        <v>0</v>
      </c>
      <c r="F158" s="61">
        <v>0</v>
      </c>
      <c r="G158" s="61">
        <v>0</v>
      </c>
      <c r="H158" s="61">
        <v>0</v>
      </c>
      <c r="I158" s="61">
        <v>0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134">
        <f t="shared" si="48"/>
        <v>0</v>
      </c>
      <c r="R158" s="134"/>
      <c r="S158" s="148"/>
      <c r="T158" s="40">
        <f t="shared" si="36"/>
        <v>0</v>
      </c>
    </row>
    <row r="159" spans="1:20" s="77" customFormat="1" ht="25.4" customHeight="1">
      <c r="A159" s="3" t="s">
        <v>344</v>
      </c>
      <c r="B159" s="3" t="s">
        <v>393</v>
      </c>
      <c r="C159" s="3"/>
      <c r="D159" s="26" t="s">
        <v>345</v>
      </c>
      <c r="E159" s="61">
        <v>180</v>
      </c>
      <c r="F159" s="61">
        <v>240</v>
      </c>
      <c r="G159" s="61">
        <v>180</v>
      </c>
      <c r="H159" s="61">
        <v>180</v>
      </c>
      <c r="I159" s="61">
        <v>180</v>
      </c>
      <c r="J159" s="61">
        <v>180</v>
      </c>
      <c r="K159" s="61">
        <v>180</v>
      </c>
      <c r="L159" s="61">
        <v>180</v>
      </c>
      <c r="M159" s="61">
        <v>180</v>
      </c>
      <c r="N159" s="61">
        <v>180</v>
      </c>
      <c r="O159" s="61">
        <v>180</v>
      </c>
      <c r="P159" s="61">
        <v>180</v>
      </c>
      <c r="Q159" s="134">
        <f t="shared" si="48"/>
        <v>2220</v>
      </c>
      <c r="R159" s="134">
        <f>Q159/$Q$117</f>
        <v>5.8730158730158726</v>
      </c>
      <c r="S159" s="148"/>
      <c r="T159" s="40" t="e">
        <f t="shared" si="36"/>
        <v>#DIV/0!</v>
      </c>
    </row>
    <row r="160" spans="1:20" s="77" customFormat="1" ht="25.4" customHeight="1">
      <c r="A160" s="3" t="s">
        <v>346</v>
      </c>
      <c r="B160" s="3" t="s">
        <v>393</v>
      </c>
      <c r="C160" s="3"/>
      <c r="D160" s="26" t="s">
        <v>347</v>
      </c>
      <c r="E160" s="61">
        <v>1067.19</v>
      </c>
      <c r="F160" s="61">
        <v>1062.99</v>
      </c>
      <c r="G160" s="61">
        <v>1058.82</v>
      </c>
      <c r="H160" s="61">
        <v>1054.68</v>
      </c>
      <c r="I160" s="61">
        <v>1026.6299999999999</v>
      </c>
      <c r="J160" s="61">
        <v>1011.24</v>
      </c>
      <c r="K160" s="61">
        <v>992.64</v>
      </c>
      <c r="L160" s="61">
        <v>992.64</v>
      </c>
      <c r="M160" s="61">
        <v>985.41000000000008</v>
      </c>
      <c r="N160" s="61">
        <v>978.27</v>
      </c>
      <c r="O160" s="61">
        <v>974.73</v>
      </c>
      <c r="P160" s="61">
        <v>971.22</v>
      </c>
      <c r="Q160" s="134">
        <f t="shared" si="48"/>
        <v>12176.46</v>
      </c>
      <c r="R160" s="134">
        <f>Q160/$Q$117</f>
        <v>32.212857142857139</v>
      </c>
      <c r="S160" s="148"/>
      <c r="T160" s="40" t="e">
        <f t="shared" si="36"/>
        <v>#DIV/0!</v>
      </c>
    </row>
    <row r="161" spans="1:20" s="77" customFormat="1" ht="25.4" customHeight="1">
      <c r="A161" s="3" t="s">
        <v>348</v>
      </c>
      <c r="B161" s="3" t="s">
        <v>393</v>
      </c>
      <c r="C161" s="3"/>
      <c r="D161" s="26" t="s">
        <v>349</v>
      </c>
      <c r="E161" s="61">
        <v>3159.75</v>
      </c>
      <c r="F161" s="61">
        <v>3107.67</v>
      </c>
      <c r="G161" s="61">
        <v>3067.08</v>
      </c>
      <c r="H161" s="61">
        <v>3080.94</v>
      </c>
      <c r="I161" s="61">
        <v>3018.5099999999998</v>
      </c>
      <c r="J161" s="61">
        <v>2965.83</v>
      </c>
      <c r="K161" s="61">
        <v>2941.89</v>
      </c>
      <c r="L161" s="61">
        <v>2947.2599999999998</v>
      </c>
      <c r="M161" s="61">
        <v>2959.2</v>
      </c>
      <c r="N161" s="61">
        <v>2981.13</v>
      </c>
      <c r="O161" s="61">
        <v>2944.7400000000002</v>
      </c>
      <c r="P161" s="61">
        <v>2935.2599999999998</v>
      </c>
      <c r="Q161" s="134">
        <f t="shared" si="48"/>
        <v>36109.26</v>
      </c>
      <c r="R161" s="134">
        <f>Q161/$Q$117</f>
        <v>95.527142857142863</v>
      </c>
      <c r="S161" s="148"/>
      <c r="T161" s="40" t="e">
        <f t="shared" si="36"/>
        <v>#DIV/0!</v>
      </c>
    </row>
    <row r="162" spans="1:20" s="77" customFormat="1" ht="25.4" customHeight="1">
      <c r="A162" s="3"/>
      <c r="B162" s="3"/>
      <c r="C162" s="3"/>
      <c r="D162" s="19" t="s">
        <v>350</v>
      </c>
      <c r="E162" s="151">
        <f>SUM(E155:E161)</f>
        <v>4406.9400000000005</v>
      </c>
      <c r="F162" s="151">
        <f t="shared" ref="F162:P162" si="49">SUM(F155:F161)</f>
        <v>4410.66</v>
      </c>
      <c r="G162" s="151">
        <f t="shared" si="49"/>
        <v>4305.8999999999996</v>
      </c>
      <c r="H162" s="151">
        <f t="shared" si="49"/>
        <v>4315.62</v>
      </c>
      <c r="I162" s="151">
        <f t="shared" si="49"/>
        <v>4225.1399999999994</v>
      </c>
      <c r="J162" s="151">
        <f t="shared" si="49"/>
        <v>4157.07</v>
      </c>
      <c r="K162" s="151">
        <f t="shared" si="49"/>
        <v>4114.53</v>
      </c>
      <c r="L162" s="151">
        <f t="shared" si="49"/>
        <v>4119.8999999999996</v>
      </c>
      <c r="M162" s="151">
        <f t="shared" si="49"/>
        <v>4124.6099999999997</v>
      </c>
      <c r="N162" s="151">
        <f t="shared" si="49"/>
        <v>4139.3999999999996</v>
      </c>
      <c r="O162" s="151">
        <f t="shared" si="49"/>
        <v>4099.47</v>
      </c>
      <c r="P162" s="151">
        <f t="shared" si="49"/>
        <v>4086.4799999999996</v>
      </c>
      <c r="Q162" s="151">
        <f t="shared" ref="Q162" si="50">SUM(Q155:Q161)</f>
        <v>50505.72</v>
      </c>
      <c r="R162" s="134">
        <f>Q162/$Q$117</f>
        <v>133.61301587301588</v>
      </c>
      <c r="S162" s="148"/>
      <c r="T162" s="40" t="e">
        <f t="shared" si="36"/>
        <v>#DIV/0!</v>
      </c>
    </row>
    <row r="163" spans="1:20" s="77" customFormat="1" ht="25.4" customHeight="1">
      <c r="A163" s="3"/>
      <c r="B163" s="3"/>
      <c r="C163" s="3"/>
      <c r="D163" s="19" t="s">
        <v>351</v>
      </c>
      <c r="E163" s="151">
        <f>E134+E143+E153+E162</f>
        <v>27770.989999999998</v>
      </c>
      <c r="F163" s="151">
        <f t="shared" ref="F163:P163" si="51">F134+F143+F153+F162</f>
        <v>23774.71</v>
      </c>
      <c r="G163" s="151">
        <f t="shared" si="51"/>
        <v>23669.949999999997</v>
      </c>
      <c r="H163" s="151">
        <f t="shared" si="51"/>
        <v>24879.66</v>
      </c>
      <c r="I163" s="151">
        <f t="shared" si="51"/>
        <v>25589.19</v>
      </c>
      <c r="J163" s="151">
        <f t="shared" si="51"/>
        <v>23521.119999999999</v>
      </c>
      <c r="K163" s="151">
        <f t="shared" si="51"/>
        <v>23478.579999999998</v>
      </c>
      <c r="L163" s="151">
        <f t="shared" si="51"/>
        <v>23483.949999999997</v>
      </c>
      <c r="M163" s="151">
        <f t="shared" si="51"/>
        <v>23488.66</v>
      </c>
      <c r="N163" s="151">
        <f t="shared" si="51"/>
        <v>27503.449999999997</v>
      </c>
      <c r="O163" s="151">
        <f t="shared" si="51"/>
        <v>23463.52</v>
      </c>
      <c r="P163" s="151">
        <f t="shared" si="51"/>
        <v>23450.53</v>
      </c>
      <c r="Q163" s="151">
        <f t="shared" ref="Q163" si="52">Q134+Q143+Q153+Q162</f>
        <v>294074.30999999994</v>
      </c>
      <c r="R163" s="134">
        <f>Q163/$Q$117</f>
        <v>777.97436507936493</v>
      </c>
      <c r="S163" s="148"/>
      <c r="T163" s="40"/>
    </row>
    <row r="164" spans="1:20" s="42" customFormat="1" ht="25.4" customHeight="1">
      <c r="S164" s="148"/>
      <c r="T164" s="40"/>
    </row>
    <row r="165" spans="1:20" s="77" customFormat="1" ht="25.4" customHeight="1">
      <c r="A165" s="3" t="s">
        <v>108</v>
      </c>
      <c r="B165" s="3" t="s">
        <v>393</v>
      </c>
      <c r="C165" s="3"/>
      <c r="D165" s="19" t="s">
        <v>354</v>
      </c>
      <c r="E165" s="65">
        <v>3</v>
      </c>
      <c r="F165" s="65">
        <v>3</v>
      </c>
      <c r="G165" s="65">
        <v>3</v>
      </c>
      <c r="H165" s="65">
        <v>3</v>
      </c>
      <c r="I165" s="65">
        <v>3</v>
      </c>
      <c r="J165" s="65">
        <v>3</v>
      </c>
      <c r="K165" s="65">
        <v>3</v>
      </c>
      <c r="L165" s="65">
        <v>3</v>
      </c>
      <c r="M165" s="65">
        <v>3</v>
      </c>
      <c r="N165" s="65">
        <v>3</v>
      </c>
      <c r="O165" s="65">
        <v>3</v>
      </c>
      <c r="P165" s="65">
        <v>3</v>
      </c>
      <c r="Q165" s="157">
        <f>SUM(E165:P165)/12</f>
        <v>3</v>
      </c>
      <c r="R165" s="158"/>
      <c r="S165" s="148"/>
      <c r="T165" s="40" t="e">
        <f t="shared" si="36"/>
        <v>#DIV/0!</v>
      </c>
    </row>
    <row r="173" spans="1:20" ht="26.25" customHeight="1">
      <c r="D173" s="6" t="s">
        <v>631</v>
      </c>
    </row>
    <row r="174" spans="1:20" ht="26.25" customHeight="1">
      <c r="D174" s="6" t="s">
        <v>632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139">
        <v>0</v>
      </c>
      <c r="K174" s="139">
        <v>0</v>
      </c>
      <c r="L174" s="5">
        <v>0</v>
      </c>
      <c r="M174" s="139">
        <v>0</v>
      </c>
      <c r="N174" s="139">
        <v>0</v>
      </c>
      <c r="O174" s="139">
        <v>0</v>
      </c>
      <c r="P174" s="139">
        <v>0</v>
      </c>
      <c r="Q174" s="139">
        <v>0</v>
      </c>
    </row>
    <row r="175" spans="1:20" ht="26.25" customHeight="1">
      <c r="D175" s="6" t="s">
        <v>633</v>
      </c>
      <c r="E175" s="7">
        <f>+E173+E174</f>
        <v>0</v>
      </c>
      <c r="F175" s="7">
        <f t="shared" ref="F175:Q175" si="53">+F173+F174</f>
        <v>0</v>
      </c>
      <c r="G175" s="7">
        <f t="shared" si="53"/>
        <v>0</v>
      </c>
      <c r="H175" s="7">
        <f t="shared" si="53"/>
        <v>0</v>
      </c>
      <c r="I175" s="7">
        <f t="shared" si="53"/>
        <v>0</v>
      </c>
      <c r="J175" s="7">
        <f t="shared" si="53"/>
        <v>0</v>
      </c>
      <c r="K175" s="7">
        <f t="shared" si="53"/>
        <v>0</v>
      </c>
      <c r="L175" s="7">
        <f t="shared" si="53"/>
        <v>0</v>
      </c>
      <c r="M175" s="7">
        <f t="shared" si="53"/>
        <v>0</v>
      </c>
      <c r="N175" s="7">
        <f t="shared" si="53"/>
        <v>0</v>
      </c>
      <c r="O175" s="7">
        <f t="shared" si="53"/>
        <v>0</v>
      </c>
      <c r="P175" s="7">
        <f t="shared" si="53"/>
        <v>0</v>
      </c>
      <c r="Q175" s="7">
        <f t="shared" si="53"/>
        <v>0</v>
      </c>
    </row>
  </sheetData>
  <phoneticPr fontId="56" type="noConversion"/>
  <dataValidations count="43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458670.58_x000d__x000a_" sqref="E12:P12 N15:P16 N22:P22">
      <formula1>0</formula1>
      <formula2>300</formula2>
    </dataValidation>
    <dataValidation type="textLength" errorStyle="information" allowBlank="1" showInputMessage="1" showErrorMessage="1" error="XLBVal:6=44987.9_x000d__x000a_" sqref="E22:M22">
      <formula1>0</formula1>
      <formula2>300</formula2>
    </dataValidation>
    <dataValidation type="textLength" errorStyle="information" allowBlank="1" showInputMessage="1" showErrorMessage="1" error="XLBVal:6=1067901.23_x000d__x000a_" sqref="E36:P36">
      <formula1>0</formula1>
      <formula2>300</formula2>
    </dataValidation>
    <dataValidation type="textLength" errorStyle="information" allowBlank="1" showInputMessage="1" showErrorMessage="1" error="XLBVal:6=209604.31_x000d__x000a_" sqref="E27:P27">
      <formula1>0</formula1>
      <formula2>300</formula2>
    </dataValidation>
    <dataValidation type="textLength" errorStyle="information" allowBlank="1" showInputMessage="1" showErrorMessage="1" error="XLBVal:6=623590.56_x000d__x000a_" sqref="E15:M15">
      <formula1>0</formula1>
      <formula2>300</formula2>
    </dataValidation>
    <dataValidation type="textLength" errorStyle="information" allowBlank="1" showInputMessage="1" showErrorMessage="1" error="XLBVal:6=468630.27_x000d__x000a_" sqref="E13:P13">
      <formula1>0</formula1>
      <formula2>300</formula2>
    </dataValidation>
    <dataValidation type="textLength" errorStyle="information" allowBlank="1" showInputMessage="1" showErrorMessage="1" error="XLBVal:6=4423_x000d__x000a_" sqref="E112:P112">
      <formula1>0</formula1>
      <formula2>300</formula2>
    </dataValidation>
    <dataValidation type="textLength" errorStyle="information" allowBlank="1" showInputMessage="1" showErrorMessage="1" error="XLBVal:2=0_x000d__x000a_" sqref="Q12:R16 R136:R143 E23:P23 M26:P26 E33:P33 E35:L35 E108:R108 E117:R117 E136:P142 R165 F37:F38 E115:Q116 Q112:Q114 Q132:Q133 Q155:Q161 R26:R27 R31:R32 R112:R116 R132:R134 E151:P152 R145:R153 R155:R163 E155:P158 Q39:R107 E16:M16 E14:P14 Q20:R24 E131:R131">
      <formula1>0</formula1>
      <formula2>300</formula2>
    </dataValidation>
    <dataValidation type="textLength" errorStyle="information" allowBlank="1" showInputMessage="1" showErrorMessage="1" error="XLBVal:5=2443234.73_x000d__x000a_" sqref="E29:E30">
      <formula1>0</formula1>
      <formula2>300</formula2>
    </dataValidation>
    <dataValidation type="textLength" errorStyle="information" allowBlank="1" showInputMessage="1" showErrorMessage="1" error="XLBVal:5=1285238.57_x000d__x000a_" sqref="F17:R17 E25:R25 R33 E34:R34 E17:E19 R35:R36">
      <formula1>0</formula1>
      <formula2>300</formula2>
    </dataValidation>
    <dataValidation type="textLength" errorStyle="information" allowBlank="1" showInputMessage="1" showErrorMessage="1" error="XLBVal:6=2660698_x000d__x000a_" sqref="Q145:Q152">
      <formula1>0</formula1>
      <formula2>300</formula2>
    </dataValidation>
    <dataValidation type="textLength" errorStyle="information" allowBlank="1" showInputMessage="1" showErrorMessage="1" error="XLBVal:6=24659.36_x000d__x000a_" sqref="E24:P24">
      <formula1>0</formula1>
      <formula2>300</formula2>
    </dataValidation>
    <dataValidation type="textLength" errorStyle="information" allowBlank="1" showInputMessage="1" showErrorMessage="1" error="XLBVal:6=21065.12_x000d__x000a_" sqref="E32:P32">
      <formula1>0</formula1>
      <formula2>300</formula2>
    </dataValidation>
    <dataValidation type="textLength" errorStyle="information" allowBlank="1" showInputMessage="1" showErrorMessage="1" error="XLBVal:6=38233.14_x000d__x000a_" sqref="E26">
      <formula1>0</formula1>
      <formula2>300</formula2>
    </dataValidation>
    <dataValidation type="textLength" errorStyle="information" allowBlank="1" showInputMessage="1" showErrorMessage="1" error="XLBVal:6=6688509.16_x000d__x000a_" sqref="E37:E38">
      <formula1>0</formula1>
      <formula2>300</formula2>
    </dataValidation>
    <dataValidation type="textLength" errorStyle="information" allowBlank="1" showInputMessage="1" showErrorMessage="1" error="XLBVal:6=27356.03_x000d__x000a_" sqref="F26">
      <formula1>0</formula1>
      <formula2>300</formula2>
    </dataValidation>
    <dataValidation type="textLength" errorStyle="information" allowBlank="1" showInputMessage="1" showErrorMessage="1" error="XLBVal:6=4300_x000d__x000a_" sqref="G26:L26">
      <formula1>0</formula1>
      <formula2>300</formula2>
    </dataValidation>
    <dataValidation type="textLength" errorStyle="information" allowBlank="1" showInputMessage="1" showErrorMessage="1" error="XLBVal:6=603500_x000d__x000a_" sqref="Q26">
      <formula1>0</formula1>
      <formula2>300</formula2>
    </dataValidation>
    <dataValidation type="textLength" errorStyle="information" allowBlank="1" showInputMessage="1" showErrorMessage="1" error="XLBVal:6=127722.23_x000d__x000a_" sqref="E132:P132">
      <formula1>0</formula1>
      <formula2>300</formula2>
    </dataValidation>
    <dataValidation type="textLength" errorStyle="information" allowBlank="1" showInputMessage="1" showErrorMessage="1" error="XLBVal:6=2215012_x000d__x000a_" sqref="Q27">
      <formula1>0</formula1>
      <formula2>300</formula2>
    </dataValidation>
    <dataValidation type="textLength" errorStyle="information" allowBlank="1" showInputMessage="1" showErrorMessage="1" error="XLBVal:6=202115.08_x000d__x000a_" sqref="E28:R28">
      <formula1>0</formula1>
      <formula2>300</formula2>
    </dataValidation>
    <dataValidation type="textLength" errorStyle="information" allowBlank="1" showInputMessage="1" showErrorMessage="1" error="XLBVal:6=694785.13_x000d__x000a_" sqref="E31:P31">
      <formula1>0</formula1>
      <formula2>300</formula2>
    </dataValidation>
    <dataValidation type="textLength" errorStyle="information" allowBlank="1" showInputMessage="1" showErrorMessage="1" error="XLBVal:6=82302.23_x000d__x000a_" sqref="E145:P150">
      <formula1>0</formula1>
      <formula2>300</formula2>
    </dataValidation>
    <dataValidation type="textLength" errorStyle="information" allowBlank="1" showInputMessage="1" showErrorMessage="1" error="XLBVal:6=30983026_x000d__x000a_" sqref="Q36">
      <formula1>0</formula1>
      <formula2>300</formula2>
    </dataValidation>
    <dataValidation type="textLength" errorStyle="information" allowBlank="1" showInputMessage="1" showErrorMessage="1" error="XLBVal:6=0_x000d__x000a_" sqref="E109:R109">
      <formula1>0</formula1>
      <formula2>300</formula2>
    </dataValidation>
    <dataValidation type="textLength" errorStyle="information" allowBlank="1" showInputMessage="1" showErrorMessage="1" error="XLBVal:6=21902.24_x000d__x000a_" sqref="E159:P161">
      <formula1>0</formula1>
      <formula2>300</formula2>
    </dataValidation>
    <dataValidation type="textLength" errorStyle="information" allowBlank="1" showInputMessage="1" showErrorMessage="1" error="XLBVal:6=3239.86_x000d__x000a_" sqref="E110:R110">
      <formula1>0</formula1>
      <formula2>300</formula2>
    </dataValidation>
    <dataValidation type="textLength" errorStyle="information" allowBlank="1" showInputMessage="1" showErrorMessage="1" error="XLBVal:6=7235.47_x000d__x000a_" sqref="E20:P21">
      <formula1>0</formula1>
      <formula2>300</formula2>
    </dataValidation>
    <dataValidation type="textLength" errorStyle="information" allowBlank="1" showInputMessage="1" showErrorMessage="1" error="XLBVal:6=3973_x000d__x000a_" sqref="E113:P113">
      <formula1>0</formula1>
      <formula2>300</formula2>
    </dataValidation>
    <dataValidation type="textLength" errorStyle="information" allowBlank="1" showInputMessage="1" showErrorMessage="1" error="XLBVal:6=699_x000d__x000a_" sqref="E114:P114">
      <formula1>0</formula1>
      <formula2>300</formula2>
    </dataValidation>
    <dataValidation type="textLength" errorStyle="information" allowBlank="1" showInputMessage="1" showErrorMessage="1" sqref="E118:L118 H126:L126 H127:R127 H128:L129 E120:E130 F126:G129 F120:R125 E164:P164 F130:P130">
      <formula1>0</formula1>
      <formula2>300</formula2>
    </dataValidation>
    <dataValidation type="textLength" errorStyle="information" allowBlank="1" showInputMessage="1" showErrorMessage="1" error="XLBVal:6=324047.45_x000d__x000a_" sqref="E133:P133">
      <formula1>0</formula1>
      <formula2>300</formula2>
    </dataValidation>
    <dataValidation type="textLength" errorStyle="information" allowBlank="1" showInputMessage="1" showErrorMessage="1" error="XLBVal:6=3678_x000d__x000a_" sqref="E154:P154">
      <formula1>0</formula1>
      <formula2>300</formula2>
    </dataValidation>
    <dataValidation type="textLength" errorStyle="information" allowBlank="1" showInputMessage="1" showErrorMessage="1" error="XLBVal:6=132_x000d__x000a_" sqref="E165:P165">
      <formula1>0</formula1>
      <formula2>300</formula2>
    </dataValidation>
    <dataValidation type="textLength" errorStyle="information" allowBlank="1" showInputMessage="1" showErrorMessage="1" error="XLBVal:6=3780_x000d__x000a_" sqref="Q165">
      <formula1>0</formula1>
      <formula2>300</formula2>
    </dataValidation>
    <dataValidation type="textLength" errorStyle="information" allowBlank="1" showInputMessage="1" showErrorMessage="1" error="XLBVal:5=0_x000d__x000a_" sqref="F18:F19 F29:F30">
      <formula1>0</formula1>
      <formula2>300</formula2>
    </dataValidation>
    <dataValidation type="textLength" errorStyle="information" allowBlank="1" showInputMessage="1" showErrorMessage="1" error="XLBVal:6=25196619_x000d__x000a_" sqref="Q31:Q33">
      <formula1>0</formula1>
      <formula2>300</formula2>
    </dataValidation>
    <dataValidation type="textLength" errorStyle="information" allowBlank="1" showInputMessage="1" showErrorMessage="1" error="XLBVal:6=995082_x000d__x000a_" sqref="Q136:Q142">
      <formula1>0</formula1>
      <formula2>300</formula2>
    </dataValidation>
    <dataValidation type="textLength" errorStyle="information" allowBlank="1" showInputMessage="1" showErrorMessage="1" error="XLBVal:5=3384188.86_x000d__x000a_" sqref="G29:L30">
      <formula1>0</formula1>
      <formula2>300</formula2>
    </dataValidation>
    <dataValidation type="textLength" errorStyle="information" allowBlank="1" showInputMessage="1" showErrorMessage="1" error="XLBVal:6=6595485.04_x000d__x000a_" sqref="G37:L38">
      <formula1>0</formula1>
      <formula2>300</formula2>
    </dataValidation>
    <dataValidation type="textLength" errorStyle="information" allowBlank="1" showInputMessage="1" showErrorMessage="1" error="XLBVal:5=1616616_x000d__x000a_" sqref="G18:L19">
      <formula1>0</formula1>
      <formula2>300</formula2>
    </dataValidation>
    <dataValidation type="textLength" allowBlank="1" showErrorMessage="1" sqref="E39:P10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T134"/>
  <sheetViews>
    <sheetView topLeftCell="A52" zoomScale="42" zoomScaleNormal="42" zoomScaleSheetLayoutView="40" workbookViewId="0">
      <pane xSplit="4" topLeftCell="E1" activePane="topRight" state="frozen"/>
      <selection activeCell="E39" sqref="E39:P108"/>
      <selection pane="topRight" activeCell="E39" sqref="E39:P108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80.453125" style="6" customWidth="1" collapsed="1"/>
    <col min="5" max="9" width="28.453125" style="7" customWidth="1"/>
    <col min="10" max="11" width="28.453125" style="139" customWidth="1"/>
    <col min="12" max="12" width="28.453125" style="5" customWidth="1"/>
    <col min="13" max="18" width="28.453125" style="139" customWidth="1"/>
    <col min="19" max="19" width="22.453125" style="140" customWidth="1"/>
    <col min="20" max="20" width="22.453125" style="139" customWidth="1"/>
    <col min="21" max="16384" width="8.90625" style="139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/>
    </row>
    <row r="4" spans="1:20" s="138" customFormat="1" ht="25.4" customHeight="1">
      <c r="D4" s="10" t="str">
        <f>Summary!$D$4</f>
        <v>Hotel Budget Report</v>
      </c>
      <c r="E4" s="141"/>
      <c r="F4" s="141"/>
      <c r="G4" s="142"/>
      <c r="H4" s="143"/>
      <c r="I4" s="143"/>
      <c r="L4" s="2"/>
      <c r="S4" s="147"/>
    </row>
    <row r="5" spans="1:20" s="138" customFormat="1" ht="25.4" customHeight="1">
      <c r="D5" s="10" t="str">
        <f>Summary!$D$5</f>
        <v>酒店预算报表</v>
      </c>
      <c r="E5" s="141"/>
      <c r="F5" s="141"/>
      <c r="G5" s="142"/>
      <c r="H5" s="143"/>
      <c r="I5" s="143"/>
      <c r="L5" s="2"/>
      <c r="S5" s="147"/>
    </row>
    <row r="6" spans="1:20" s="138" customFormat="1" ht="25.4" customHeight="1">
      <c r="D6" s="10" t="s">
        <v>647</v>
      </c>
      <c r="E6" s="143"/>
      <c r="F6" s="143"/>
      <c r="G6" s="143"/>
      <c r="H6" s="143"/>
      <c r="I6" s="143"/>
      <c r="L6" s="2"/>
      <c r="S6" s="147"/>
    </row>
    <row r="7" spans="1:20" s="138" customFormat="1" ht="25.4" customHeight="1">
      <c r="D7" s="199">
        <f>Parameter!H4</f>
        <v>2025</v>
      </c>
      <c r="E7" s="143"/>
      <c r="F7" s="143"/>
      <c r="G7" s="143"/>
      <c r="H7" s="143"/>
      <c r="I7" s="143"/>
      <c r="L7" s="2"/>
      <c r="S7" s="147"/>
    </row>
    <row r="8" spans="1:20" ht="25.4" customHeight="1">
      <c r="A8" s="139"/>
      <c r="B8" s="139"/>
      <c r="C8" s="139"/>
      <c r="D8" s="144"/>
      <c r="E8" s="145"/>
      <c r="F8" s="145"/>
      <c r="G8" s="145"/>
      <c r="H8" s="145"/>
      <c r="I8" s="145"/>
    </row>
    <row r="9" spans="1:20" s="77" customFormat="1" ht="25.4" customHeight="1">
      <c r="A9" s="3"/>
      <c r="B9" s="3"/>
      <c r="C9" s="3"/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R9" s="18"/>
      <c r="S9" s="109"/>
      <c r="T9" s="110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/>
      <c r="S10" s="36" t="s">
        <v>23</v>
      </c>
      <c r="T10" s="37" t="s">
        <v>24</v>
      </c>
    </row>
    <row r="11" spans="1:20" s="77" customFormat="1" ht="25.4" customHeight="1">
      <c r="A11" s="3"/>
      <c r="B11" s="3"/>
      <c r="C11" s="3"/>
      <c r="D11" s="21" t="s">
        <v>648</v>
      </c>
      <c r="E11" s="70"/>
      <c r="F11" s="70"/>
      <c r="G11" s="70"/>
      <c r="H11" s="71"/>
      <c r="I11" s="71"/>
      <c r="J11" s="3"/>
      <c r="K11" s="146"/>
      <c r="L11" s="146"/>
      <c r="M11" s="146"/>
      <c r="S11" s="148"/>
    </row>
    <row r="12" spans="1:20" s="77" customFormat="1" ht="25.4" customHeight="1">
      <c r="A12" s="50" t="s">
        <v>405</v>
      </c>
      <c r="B12" s="3" t="s">
        <v>649</v>
      </c>
      <c r="C12" s="3"/>
      <c r="D12" s="26" t="s">
        <v>650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146">
        <f>SUM(E12:P12)</f>
        <v>0</v>
      </c>
      <c r="R12" s="146"/>
      <c r="S12" s="148"/>
      <c r="T12" s="40">
        <f>IF(Q12-S12=0,0,(Q12-S12)/S12)</f>
        <v>0</v>
      </c>
    </row>
    <row r="13" spans="1:20" s="77" customFormat="1" ht="25.4" customHeight="1">
      <c r="A13" s="50" t="s">
        <v>651</v>
      </c>
      <c r="B13" s="3" t="s">
        <v>649</v>
      </c>
      <c r="C13" s="3"/>
      <c r="D13" s="26" t="s">
        <v>652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134">
        <f>SUM(E13:P13)</f>
        <v>0</v>
      </c>
      <c r="R13" s="134"/>
      <c r="S13" s="148"/>
      <c r="T13" s="40">
        <f t="shared" ref="T13:T57" si="0">IF(Q13-S13=0,0,(Q13-S13)/S13)</f>
        <v>0</v>
      </c>
    </row>
    <row r="14" spans="1:20" s="77" customFormat="1" ht="25.4" customHeight="1">
      <c r="A14" s="50" t="s">
        <v>653</v>
      </c>
      <c r="B14" s="3" t="s">
        <v>649</v>
      </c>
      <c r="C14" s="3"/>
      <c r="D14" s="26" t="s">
        <v>654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134">
        <f>SUM(E14:P14)</f>
        <v>0</v>
      </c>
      <c r="R14" s="134"/>
      <c r="S14" s="148"/>
      <c r="T14" s="40">
        <f t="shared" si="0"/>
        <v>0</v>
      </c>
    </row>
    <row r="15" spans="1:20" s="77" customFormat="1" ht="25.4" customHeight="1">
      <c r="A15" s="50" t="s">
        <v>128</v>
      </c>
      <c r="B15" s="3" t="s">
        <v>649</v>
      </c>
      <c r="C15" s="3"/>
      <c r="D15" s="26" t="s">
        <v>129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134">
        <f>SUM(E15:P15)</f>
        <v>0</v>
      </c>
      <c r="R15" s="134"/>
      <c r="S15" s="148"/>
      <c r="T15" s="40">
        <f t="shared" si="0"/>
        <v>0</v>
      </c>
    </row>
    <row r="16" spans="1:20" s="77" customFormat="1" ht="25.4" customHeight="1">
      <c r="A16" s="3"/>
      <c r="B16" s="3"/>
      <c r="C16" s="3"/>
      <c r="D16" s="21" t="s">
        <v>655</v>
      </c>
      <c r="E16" s="45">
        <f t="shared" ref="E16:Q16" si="1">SUM(E12:E15)</f>
        <v>0</v>
      </c>
      <c r="F16" s="45">
        <f t="shared" si="1"/>
        <v>0</v>
      </c>
      <c r="G16" s="45">
        <f t="shared" si="1"/>
        <v>0</v>
      </c>
      <c r="H16" s="45">
        <f t="shared" si="1"/>
        <v>0</v>
      </c>
      <c r="I16" s="45">
        <f t="shared" si="1"/>
        <v>0</v>
      </c>
      <c r="J16" s="45">
        <f t="shared" si="1"/>
        <v>0</v>
      </c>
      <c r="K16" s="45">
        <f t="shared" si="1"/>
        <v>0</v>
      </c>
      <c r="L16" s="45">
        <f t="shared" si="1"/>
        <v>0</v>
      </c>
      <c r="M16" s="45">
        <f t="shared" si="1"/>
        <v>0</v>
      </c>
      <c r="N16" s="45">
        <f t="shared" si="1"/>
        <v>0</v>
      </c>
      <c r="O16" s="45">
        <f t="shared" si="1"/>
        <v>0</v>
      </c>
      <c r="P16" s="45">
        <f t="shared" si="1"/>
        <v>0</v>
      </c>
      <c r="Q16" s="45">
        <f t="shared" si="1"/>
        <v>0</v>
      </c>
      <c r="R16" s="45"/>
      <c r="S16" s="148"/>
      <c r="T16" s="40">
        <f t="shared" si="0"/>
        <v>0</v>
      </c>
    </row>
    <row r="17" spans="1:20" s="77" customFormat="1" ht="25.4" customHeight="1">
      <c r="A17" s="3"/>
      <c r="B17" s="3"/>
      <c r="C17" s="3"/>
      <c r="D17" s="26"/>
      <c r="E17" s="106"/>
      <c r="F17" s="24"/>
      <c r="G17" s="106"/>
      <c r="H17" s="106"/>
      <c r="I17" s="106"/>
      <c r="J17" s="106"/>
      <c r="K17" s="106"/>
      <c r="L17" s="106"/>
      <c r="S17" s="148"/>
      <c r="T17" s="40"/>
    </row>
    <row r="18" spans="1:20" s="77" customFormat="1" ht="25.4" customHeight="1">
      <c r="A18" s="50"/>
      <c r="B18" s="3"/>
      <c r="C18" s="3"/>
      <c r="D18" s="21" t="s">
        <v>411</v>
      </c>
      <c r="E18" s="63"/>
      <c r="F18" s="63"/>
      <c r="G18" s="63"/>
      <c r="H18" s="63"/>
      <c r="I18" s="63"/>
      <c r="J18" s="63"/>
      <c r="K18" s="63"/>
      <c r="L18" s="63"/>
      <c r="S18" s="148"/>
      <c r="T18" s="40"/>
    </row>
    <row r="19" spans="1:20" s="77" customFormat="1" ht="25.4" customHeight="1">
      <c r="A19" s="50" t="s">
        <v>416</v>
      </c>
      <c r="B19" s="3" t="s">
        <v>649</v>
      </c>
      <c r="C19" s="3"/>
      <c r="D19" s="26" t="s">
        <v>417</v>
      </c>
      <c r="E19" s="27">
        <f>E12*25.6%</f>
        <v>0</v>
      </c>
      <c r="F19" s="27">
        <f t="shared" ref="F19:O19" si="2">F12*28%</f>
        <v>0</v>
      </c>
      <c r="G19" s="27">
        <f t="shared" si="2"/>
        <v>0</v>
      </c>
      <c r="H19" s="27">
        <f>H12*30.4%</f>
        <v>0</v>
      </c>
      <c r="I19" s="27">
        <f>I12*25%</f>
        <v>0</v>
      </c>
      <c r="J19" s="27">
        <f>J12*21.9%</f>
        <v>0</v>
      </c>
      <c r="K19" s="27">
        <f>K12*24.5%</f>
        <v>0</v>
      </c>
      <c r="L19" s="27">
        <f>L12*27.7%</f>
        <v>0</v>
      </c>
      <c r="M19" s="27">
        <f>M12*25.1%</f>
        <v>0</v>
      </c>
      <c r="N19" s="27">
        <f t="shared" si="2"/>
        <v>0</v>
      </c>
      <c r="O19" s="27">
        <f t="shared" si="2"/>
        <v>0</v>
      </c>
      <c r="P19" s="27">
        <f>P12*26%</f>
        <v>0</v>
      </c>
      <c r="Q19" s="134">
        <f>SUM(E19:P19)</f>
        <v>0</v>
      </c>
      <c r="R19" s="134"/>
      <c r="S19" s="148"/>
      <c r="T19" s="40">
        <f>-IF(Q19-S19=0,0,(Q19-S19)/S19)</f>
        <v>0</v>
      </c>
    </row>
    <row r="20" spans="1:20" s="77" customFormat="1" ht="25.4" customHeight="1">
      <c r="A20" s="3" t="s">
        <v>656</v>
      </c>
      <c r="B20" s="3" t="s">
        <v>649</v>
      </c>
      <c r="C20" s="3"/>
      <c r="D20" s="26" t="s">
        <v>657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134">
        <f>SUM(E20:P20)</f>
        <v>0</v>
      </c>
      <c r="R20" s="134"/>
      <c r="S20" s="148"/>
      <c r="T20" s="40">
        <f t="shared" ref="T20:T23" si="3">-IF(Q20-S20=0,0,(Q20-S20)/S20)</f>
        <v>0</v>
      </c>
    </row>
    <row r="21" spans="1:20" s="77" customFormat="1" ht="25.4" customHeight="1">
      <c r="A21" s="3" t="s">
        <v>454</v>
      </c>
      <c r="B21" s="3" t="s">
        <v>649</v>
      </c>
      <c r="C21" s="3"/>
      <c r="D21" s="26" t="s">
        <v>658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134">
        <f>SUM(E21:P21)</f>
        <v>0</v>
      </c>
      <c r="R21" s="134"/>
      <c r="S21" s="148"/>
      <c r="T21" s="40">
        <f t="shared" si="3"/>
        <v>0</v>
      </c>
    </row>
    <row r="22" spans="1:20" s="77" customFormat="1" ht="25.4" customHeight="1">
      <c r="A22" s="3"/>
      <c r="B22" s="3"/>
      <c r="C22" s="3"/>
      <c r="D22" s="21" t="s">
        <v>420</v>
      </c>
      <c r="E22" s="45">
        <f t="shared" ref="E22:P22" si="4">+SUM(E19:E21)</f>
        <v>0</v>
      </c>
      <c r="F22" s="45">
        <f t="shared" si="4"/>
        <v>0</v>
      </c>
      <c r="G22" s="45">
        <f t="shared" si="4"/>
        <v>0</v>
      </c>
      <c r="H22" s="45">
        <f t="shared" si="4"/>
        <v>0</v>
      </c>
      <c r="I22" s="45">
        <f t="shared" si="4"/>
        <v>0</v>
      </c>
      <c r="J22" s="45">
        <f t="shared" si="4"/>
        <v>0</v>
      </c>
      <c r="K22" s="45">
        <f t="shared" si="4"/>
        <v>0</v>
      </c>
      <c r="L22" s="45">
        <f t="shared" si="4"/>
        <v>0</v>
      </c>
      <c r="M22" s="45">
        <f t="shared" si="4"/>
        <v>0</v>
      </c>
      <c r="N22" s="45">
        <f t="shared" si="4"/>
        <v>0</v>
      </c>
      <c r="O22" s="45">
        <f t="shared" si="4"/>
        <v>0</v>
      </c>
      <c r="P22" s="45">
        <f t="shared" si="4"/>
        <v>0</v>
      </c>
      <c r="Q22" s="45">
        <f>SUM(Q19:Q21)</f>
        <v>0</v>
      </c>
      <c r="R22" s="149" t="e">
        <f>Q22/$Q$16</f>
        <v>#DIV/0!</v>
      </c>
      <c r="S22" s="148"/>
      <c r="T22" s="40">
        <f t="shared" si="3"/>
        <v>0</v>
      </c>
    </row>
    <row r="23" spans="1:20" s="77" customFormat="1" ht="25.4" customHeight="1">
      <c r="A23" s="3"/>
      <c r="B23" s="3"/>
      <c r="C23" s="3"/>
      <c r="D23" s="26"/>
      <c r="E23" s="63"/>
      <c r="F23" s="63"/>
      <c r="G23" s="63"/>
      <c r="H23" s="63"/>
      <c r="I23" s="63"/>
      <c r="J23" s="63"/>
      <c r="K23" s="63"/>
      <c r="L23" s="63"/>
      <c r="Q23" s="150"/>
      <c r="S23" s="148"/>
      <c r="T23" s="40">
        <f t="shared" si="3"/>
        <v>0</v>
      </c>
    </row>
    <row r="24" spans="1:20" s="77" customFormat="1" ht="25.4" customHeight="1">
      <c r="A24" s="3" t="s">
        <v>106</v>
      </c>
      <c r="B24" s="3" t="s">
        <v>649</v>
      </c>
      <c r="C24" s="3"/>
      <c r="D24" s="21" t="s">
        <v>139</v>
      </c>
      <c r="E24" s="45">
        <f>+E132</f>
        <v>0</v>
      </c>
      <c r="F24" s="45">
        <f t="shared" ref="F24:P24" si="5">+F132</f>
        <v>0</v>
      </c>
      <c r="G24" s="45">
        <f t="shared" si="5"/>
        <v>0</v>
      </c>
      <c r="H24" s="45">
        <f t="shared" si="5"/>
        <v>0</v>
      </c>
      <c r="I24" s="45">
        <f t="shared" si="5"/>
        <v>0</v>
      </c>
      <c r="J24" s="45">
        <f t="shared" si="5"/>
        <v>0</v>
      </c>
      <c r="K24" s="45">
        <f t="shared" si="5"/>
        <v>0</v>
      </c>
      <c r="L24" s="45">
        <f t="shared" si="5"/>
        <v>0</v>
      </c>
      <c r="M24" s="45">
        <f t="shared" si="5"/>
        <v>0</v>
      </c>
      <c r="N24" s="45">
        <f t="shared" si="5"/>
        <v>0</v>
      </c>
      <c r="O24" s="45">
        <f t="shared" si="5"/>
        <v>0</v>
      </c>
      <c r="P24" s="45">
        <f t="shared" si="5"/>
        <v>0</v>
      </c>
      <c r="Q24" s="45">
        <f>SUM(E24:P24)</f>
        <v>0</v>
      </c>
      <c r="R24" s="45"/>
      <c r="S24" s="148"/>
      <c r="T24" s="40"/>
    </row>
    <row r="25" spans="1:20" s="77" customFormat="1" ht="25.4" customHeight="1">
      <c r="A25" s="3"/>
      <c r="B25" s="3"/>
      <c r="C25" s="3"/>
      <c r="D25" s="26"/>
      <c r="E25" s="63"/>
      <c r="F25" s="63"/>
      <c r="G25" s="63"/>
      <c r="H25" s="63"/>
      <c r="I25" s="63"/>
      <c r="J25" s="63"/>
      <c r="K25" s="63"/>
      <c r="L25" s="63"/>
      <c r="S25" s="148"/>
      <c r="T25" s="40"/>
    </row>
    <row r="26" spans="1:20" s="77" customFormat="1" ht="25.4" customHeight="1">
      <c r="A26" s="3"/>
      <c r="B26" s="3"/>
      <c r="C26" s="3"/>
      <c r="D26" s="21" t="s">
        <v>140</v>
      </c>
      <c r="E26" s="63"/>
      <c r="F26" s="63"/>
      <c r="G26" s="63"/>
      <c r="H26" s="63"/>
      <c r="I26" s="63"/>
      <c r="J26" s="63"/>
      <c r="K26" s="63"/>
      <c r="L26" s="63"/>
      <c r="S26" s="148"/>
      <c r="T26" s="40"/>
    </row>
    <row r="27" spans="1:20" s="77" customFormat="1" ht="25.4" customHeight="1">
      <c r="A27" s="3" t="s">
        <v>142</v>
      </c>
      <c r="B27" s="3" t="s">
        <v>649</v>
      </c>
      <c r="C27" s="3"/>
      <c r="D27" s="26" t="s">
        <v>143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134"/>
      <c r="R27" s="134"/>
      <c r="S27" s="148"/>
      <c r="T27" s="40">
        <f t="shared" si="0"/>
        <v>0</v>
      </c>
    </row>
    <row r="28" spans="1:20" s="77" customFormat="1" ht="25.4" customHeight="1">
      <c r="A28" s="3" t="s">
        <v>144</v>
      </c>
      <c r="B28" s="3" t="s">
        <v>649</v>
      </c>
      <c r="C28" s="3"/>
      <c r="D28" s="26" t="s">
        <v>145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134"/>
      <c r="R28" s="134"/>
      <c r="S28" s="148"/>
      <c r="T28" s="40">
        <f t="shared" si="0"/>
        <v>0</v>
      </c>
    </row>
    <row r="29" spans="1:20" s="77" customFormat="1" ht="25.4" customHeight="1">
      <c r="A29" s="3" t="s">
        <v>146</v>
      </c>
      <c r="B29" s="3" t="s">
        <v>649</v>
      </c>
      <c r="C29" s="3"/>
      <c r="D29" s="26" t="s">
        <v>147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134"/>
      <c r="R29" s="134"/>
      <c r="S29" s="148"/>
      <c r="T29" s="40">
        <f t="shared" si="0"/>
        <v>0</v>
      </c>
    </row>
    <row r="30" spans="1:20" s="77" customFormat="1" ht="25.4" customHeight="1">
      <c r="A30" s="3" t="s">
        <v>148</v>
      </c>
      <c r="B30" s="3" t="s">
        <v>649</v>
      </c>
      <c r="C30" s="3"/>
      <c r="D30" s="26" t="s">
        <v>149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134"/>
      <c r="R30" s="134"/>
      <c r="S30" s="148"/>
      <c r="T30" s="40">
        <f t="shared" si="0"/>
        <v>0</v>
      </c>
    </row>
    <row r="31" spans="1:20" s="77" customFormat="1" ht="25.4" customHeight="1">
      <c r="A31" s="3" t="s">
        <v>150</v>
      </c>
      <c r="B31" s="3" t="s">
        <v>649</v>
      </c>
      <c r="C31" s="3"/>
      <c r="D31" s="26" t="s">
        <v>151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34"/>
      <c r="R31" s="134"/>
      <c r="S31" s="148"/>
      <c r="T31" s="40">
        <f t="shared" si="0"/>
        <v>0</v>
      </c>
    </row>
    <row r="32" spans="1:20" s="77" customFormat="1" ht="25.4" customHeight="1">
      <c r="A32" s="3" t="s">
        <v>152</v>
      </c>
      <c r="B32" s="3" t="s">
        <v>649</v>
      </c>
      <c r="C32" s="3"/>
      <c r="D32" s="26" t="s">
        <v>153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134"/>
      <c r="R32" s="134"/>
      <c r="S32" s="148"/>
      <c r="T32" s="40">
        <f t="shared" si="0"/>
        <v>0</v>
      </c>
    </row>
    <row r="33" spans="1:20" s="77" customFormat="1" ht="25.4" customHeight="1">
      <c r="A33" s="3" t="s">
        <v>154</v>
      </c>
      <c r="B33" s="3" t="s">
        <v>649</v>
      </c>
      <c r="C33" s="3"/>
      <c r="D33" s="26" t="s">
        <v>155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134"/>
      <c r="R33" s="134"/>
      <c r="S33" s="148"/>
      <c r="T33" s="40">
        <f t="shared" si="0"/>
        <v>0</v>
      </c>
    </row>
    <row r="34" spans="1:20" s="77" customFormat="1" ht="25.4" customHeight="1">
      <c r="A34" s="3" t="s">
        <v>156</v>
      </c>
      <c r="B34" s="3" t="s">
        <v>649</v>
      </c>
      <c r="C34" s="3"/>
      <c r="D34" s="26" t="s">
        <v>157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134"/>
      <c r="R34" s="134"/>
      <c r="S34" s="148"/>
      <c r="T34" s="40">
        <f t="shared" si="0"/>
        <v>0</v>
      </c>
    </row>
    <row r="35" spans="1:20" s="77" customFormat="1" ht="25.4" customHeight="1">
      <c r="A35" s="3" t="s">
        <v>158</v>
      </c>
      <c r="B35" s="3" t="s">
        <v>649</v>
      </c>
      <c r="C35" s="3"/>
      <c r="D35" s="26" t="s">
        <v>159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134"/>
      <c r="R35" s="134"/>
      <c r="S35" s="148"/>
      <c r="T35" s="40">
        <f t="shared" si="0"/>
        <v>0</v>
      </c>
    </row>
    <row r="36" spans="1:20" s="77" customFormat="1" ht="25.4" customHeight="1">
      <c r="A36" s="3" t="s">
        <v>160</v>
      </c>
      <c r="B36" s="3" t="s">
        <v>649</v>
      </c>
      <c r="C36" s="3"/>
      <c r="D36" s="26" t="s">
        <v>161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134"/>
      <c r="R36" s="134"/>
      <c r="S36" s="148"/>
      <c r="T36" s="40">
        <f t="shared" si="0"/>
        <v>0</v>
      </c>
    </row>
    <row r="37" spans="1:20" s="77" customFormat="1" ht="25.4" customHeight="1">
      <c r="A37" s="3" t="s">
        <v>162</v>
      </c>
      <c r="B37" s="3" t="s">
        <v>649</v>
      </c>
      <c r="C37" s="3"/>
      <c r="D37" s="26" t="s">
        <v>163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134"/>
      <c r="R37" s="134"/>
      <c r="S37" s="148"/>
      <c r="T37" s="40">
        <f t="shared" si="0"/>
        <v>0</v>
      </c>
    </row>
    <row r="38" spans="1:20" s="77" customFormat="1" ht="25.4" customHeight="1">
      <c r="A38" s="3" t="s">
        <v>164</v>
      </c>
      <c r="B38" s="3" t="s">
        <v>649</v>
      </c>
      <c r="C38" s="3"/>
      <c r="D38" s="26" t="s">
        <v>165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134"/>
      <c r="R38" s="134"/>
      <c r="S38" s="148"/>
      <c r="T38" s="40">
        <f t="shared" si="0"/>
        <v>0</v>
      </c>
    </row>
    <row r="39" spans="1:20" s="77" customFormat="1" ht="25.4" customHeight="1">
      <c r="A39" s="3" t="s">
        <v>166</v>
      </c>
      <c r="B39" s="3" t="s">
        <v>649</v>
      </c>
      <c r="C39" s="3"/>
      <c r="D39" s="26" t="s">
        <v>167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134"/>
      <c r="R39" s="134"/>
      <c r="S39" s="148"/>
      <c r="T39" s="40">
        <f t="shared" si="0"/>
        <v>0</v>
      </c>
    </row>
    <row r="40" spans="1:20" s="77" customFormat="1" ht="25.4" customHeight="1">
      <c r="A40" s="3" t="s">
        <v>168</v>
      </c>
      <c r="B40" s="3" t="s">
        <v>649</v>
      </c>
      <c r="C40" s="3"/>
      <c r="D40" s="26" t="s">
        <v>169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34"/>
      <c r="R40" s="134"/>
      <c r="S40" s="148"/>
      <c r="T40" s="40">
        <f t="shared" si="0"/>
        <v>0</v>
      </c>
    </row>
    <row r="41" spans="1:20" s="77" customFormat="1" ht="25.4" customHeight="1">
      <c r="A41" s="3" t="s">
        <v>170</v>
      </c>
      <c r="B41" s="3" t="s">
        <v>649</v>
      </c>
      <c r="C41" s="3"/>
      <c r="D41" s="26" t="s">
        <v>171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134"/>
      <c r="R41" s="134"/>
      <c r="S41" s="148"/>
      <c r="T41" s="40">
        <f t="shared" si="0"/>
        <v>0</v>
      </c>
    </row>
    <row r="42" spans="1:20" s="77" customFormat="1" ht="25.4" customHeight="1">
      <c r="A42" s="3" t="s">
        <v>172</v>
      </c>
      <c r="B42" s="3" t="s">
        <v>649</v>
      </c>
      <c r="C42" s="3"/>
      <c r="D42" s="26" t="s">
        <v>173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134"/>
      <c r="R42" s="134"/>
      <c r="S42" s="148"/>
      <c r="T42" s="40">
        <f t="shared" si="0"/>
        <v>0</v>
      </c>
    </row>
    <row r="43" spans="1:20" s="77" customFormat="1" ht="25.4" customHeight="1">
      <c r="A43" s="3" t="s">
        <v>174</v>
      </c>
      <c r="B43" s="3" t="s">
        <v>649</v>
      </c>
      <c r="C43" s="3"/>
      <c r="D43" s="26" t="s">
        <v>175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134"/>
      <c r="R43" s="134"/>
      <c r="S43" s="148"/>
      <c r="T43" s="40">
        <f t="shared" si="0"/>
        <v>0</v>
      </c>
    </row>
    <row r="44" spans="1:20" s="77" customFormat="1" ht="25.4" customHeight="1">
      <c r="A44" s="3" t="s">
        <v>176</v>
      </c>
      <c r="B44" s="3" t="s">
        <v>649</v>
      </c>
      <c r="C44" s="3"/>
      <c r="D44" s="26" t="s">
        <v>177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34"/>
      <c r="R44" s="134"/>
      <c r="S44" s="148"/>
      <c r="T44" s="40">
        <f t="shared" si="0"/>
        <v>0</v>
      </c>
    </row>
    <row r="45" spans="1:20" s="77" customFormat="1" ht="25.4" customHeight="1">
      <c r="A45" s="3" t="s">
        <v>178</v>
      </c>
      <c r="B45" s="3" t="s">
        <v>649</v>
      </c>
      <c r="C45" s="3"/>
      <c r="D45" s="26" t="s">
        <v>179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134"/>
      <c r="R45" s="134"/>
      <c r="S45" s="148"/>
      <c r="T45" s="40">
        <f t="shared" si="0"/>
        <v>0</v>
      </c>
    </row>
    <row r="46" spans="1:20" s="77" customFormat="1" ht="25.4" customHeight="1">
      <c r="A46" s="3" t="s">
        <v>180</v>
      </c>
      <c r="B46" s="3" t="s">
        <v>649</v>
      </c>
      <c r="C46" s="3"/>
      <c r="D46" s="26" t="s">
        <v>181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134"/>
      <c r="R46" s="134"/>
      <c r="S46" s="148"/>
      <c r="T46" s="40">
        <f t="shared" si="0"/>
        <v>0</v>
      </c>
    </row>
    <row r="47" spans="1:20" s="77" customFormat="1" ht="25.4" customHeight="1">
      <c r="A47" s="3" t="s">
        <v>182</v>
      </c>
      <c r="B47" s="3" t="s">
        <v>649</v>
      </c>
      <c r="C47" s="3"/>
      <c r="D47" s="26" t="s">
        <v>183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134"/>
      <c r="R47" s="134"/>
      <c r="S47" s="148"/>
      <c r="T47" s="40">
        <f t="shared" si="0"/>
        <v>0</v>
      </c>
    </row>
    <row r="48" spans="1:20" s="77" customFormat="1" ht="25.4" customHeight="1">
      <c r="A48" s="3" t="s">
        <v>184</v>
      </c>
      <c r="B48" s="3" t="s">
        <v>649</v>
      </c>
      <c r="C48" s="3"/>
      <c r="D48" s="26" t="s">
        <v>185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134"/>
      <c r="R48" s="134"/>
      <c r="S48" s="148"/>
      <c r="T48" s="40">
        <f t="shared" si="0"/>
        <v>0</v>
      </c>
    </row>
    <row r="49" spans="1:20" s="77" customFormat="1" ht="25.4" customHeight="1">
      <c r="A49" s="3" t="s">
        <v>186</v>
      </c>
      <c r="B49" s="3" t="s">
        <v>649</v>
      </c>
      <c r="C49" s="3"/>
      <c r="D49" s="26" t="s">
        <v>187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134"/>
      <c r="R49" s="134"/>
      <c r="S49" s="148"/>
      <c r="T49" s="40">
        <f t="shared" si="0"/>
        <v>0</v>
      </c>
    </row>
    <row r="50" spans="1:20" s="77" customFormat="1" ht="25.4" customHeight="1">
      <c r="A50" s="3" t="s">
        <v>188</v>
      </c>
      <c r="B50" s="3" t="s">
        <v>649</v>
      </c>
      <c r="C50" s="3"/>
      <c r="D50" s="26" t="s">
        <v>189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34"/>
      <c r="R50" s="134"/>
      <c r="S50" s="148"/>
      <c r="T50" s="40">
        <f t="shared" si="0"/>
        <v>0</v>
      </c>
    </row>
    <row r="51" spans="1:20" s="77" customFormat="1" ht="25.4" customHeight="1">
      <c r="A51" s="3" t="s">
        <v>190</v>
      </c>
      <c r="B51" s="3" t="s">
        <v>649</v>
      </c>
      <c r="C51" s="3"/>
      <c r="D51" s="26" t="s">
        <v>191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134"/>
      <c r="R51" s="134"/>
      <c r="S51" s="148"/>
      <c r="T51" s="40">
        <f t="shared" si="0"/>
        <v>0</v>
      </c>
    </row>
    <row r="52" spans="1:20" s="77" customFormat="1" ht="25.4" customHeight="1">
      <c r="A52" s="3" t="s">
        <v>192</v>
      </c>
      <c r="B52" s="3" t="s">
        <v>649</v>
      </c>
      <c r="C52" s="3"/>
      <c r="D52" s="26" t="s">
        <v>193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134"/>
      <c r="R52" s="134"/>
      <c r="S52" s="148"/>
      <c r="T52" s="40">
        <f t="shared" si="0"/>
        <v>0</v>
      </c>
    </row>
    <row r="53" spans="1:20" s="77" customFormat="1" ht="25.4" customHeight="1">
      <c r="A53" s="3" t="s">
        <v>194</v>
      </c>
      <c r="B53" s="3" t="s">
        <v>649</v>
      </c>
      <c r="C53" s="3"/>
      <c r="D53" s="26" t="s">
        <v>195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134"/>
      <c r="R53" s="134"/>
      <c r="S53" s="148"/>
      <c r="T53" s="40">
        <f t="shared" si="0"/>
        <v>0</v>
      </c>
    </row>
    <row r="54" spans="1:20" s="77" customFormat="1" ht="25.4" customHeight="1">
      <c r="A54" s="3" t="s">
        <v>196</v>
      </c>
      <c r="B54" s="3" t="s">
        <v>649</v>
      </c>
      <c r="C54" s="3"/>
      <c r="D54" s="26" t="s">
        <v>197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134"/>
      <c r="R54" s="134"/>
      <c r="S54" s="148"/>
      <c r="T54" s="40">
        <f t="shared" si="0"/>
        <v>0</v>
      </c>
    </row>
    <row r="55" spans="1:20" s="77" customFormat="1" ht="25.4" customHeight="1">
      <c r="A55" s="3" t="s">
        <v>198</v>
      </c>
      <c r="B55" s="3" t="s">
        <v>649</v>
      </c>
      <c r="C55" s="3"/>
      <c r="D55" s="26" t="s">
        <v>199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134"/>
      <c r="R55" s="134"/>
      <c r="S55" s="148"/>
      <c r="T55" s="40">
        <f t="shared" si="0"/>
        <v>0</v>
      </c>
    </row>
    <row r="56" spans="1:20" s="77" customFormat="1" ht="25.4" customHeight="1">
      <c r="A56" s="3" t="s">
        <v>200</v>
      </c>
      <c r="B56" s="3" t="s">
        <v>649</v>
      </c>
      <c r="C56" s="3"/>
      <c r="D56" s="26" t="s">
        <v>201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134"/>
      <c r="R56" s="134"/>
      <c r="S56" s="148"/>
      <c r="T56" s="40">
        <f t="shared" si="0"/>
        <v>0</v>
      </c>
    </row>
    <row r="57" spans="1:20" s="77" customFormat="1" ht="25.4" customHeight="1">
      <c r="A57" s="3" t="s">
        <v>202</v>
      </c>
      <c r="B57" s="3" t="s">
        <v>649</v>
      </c>
      <c r="C57" s="3"/>
      <c r="D57" s="26" t="s">
        <v>203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34"/>
      <c r="R57" s="134"/>
      <c r="S57" s="148"/>
      <c r="T57" s="40">
        <f t="shared" si="0"/>
        <v>0</v>
      </c>
    </row>
    <row r="58" spans="1:20" s="77" customFormat="1" ht="25.4" customHeight="1">
      <c r="A58" s="3" t="s">
        <v>204</v>
      </c>
      <c r="B58" s="3" t="s">
        <v>649</v>
      </c>
      <c r="C58" s="3"/>
      <c r="D58" s="26" t="s">
        <v>205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134"/>
      <c r="R58" s="134"/>
      <c r="S58" s="148"/>
      <c r="T58" s="40">
        <f>-IF(Q58-S58=0,0,(Q58-S58)/S58)</f>
        <v>0</v>
      </c>
    </row>
    <row r="59" spans="1:20" s="77" customFormat="1" ht="25.4" customHeight="1">
      <c r="A59" s="3" t="s">
        <v>206</v>
      </c>
      <c r="B59" s="3" t="s">
        <v>649</v>
      </c>
      <c r="C59" s="3"/>
      <c r="D59" s="26" t="s">
        <v>207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34"/>
      <c r="R59" s="134"/>
      <c r="S59" s="148"/>
      <c r="T59" s="40">
        <f t="shared" ref="T59:T96" si="6">-IF(Q59-S59=0,0,(Q59-S59)/S59)</f>
        <v>0</v>
      </c>
    </row>
    <row r="60" spans="1:20" s="77" customFormat="1" ht="25.4" customHeight="1">
      <c r="A60" s="3" t="s">
        <v>208</v>
      </c>
      <c r="B60" s="3" t="s">
        <v>649</v>
      </c>
      <c r="C60" s="3"/>
      <c r="D60" s="26" t="s">
        <v>209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34"/>
      <c r="R60" s="134"/>
      <c r="S60" s="148"/>
      <c r="T60" s="40">
        <f t="shared" si="6"/>
        <v>0</v>
      </c>
    </row>
    <row r="61" spans="1:20" s="77" customFormat="1" ht="25.4" customHeight="1">
      <c r="A61" s="3" t="s">
        <v>210</v>
      </c>
      <c r="B61" s="3" t="s">
        <v>649</v>
      </c>
      <c r="C61" s="3"/>
      <c r="D61" s="26" t="s">
        <v>211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34"/>
      <c r="R61" s="134"/>
      <c r="S61" s="148"/>
      <c r="T61" s="40">
        <f t="shared" si="6"/>
        <v>0</v>
      </c>
    </row>
    <row r="62" spans="1:20" s="77" customFormat="1" ht="25.4" customHeight="1">
      <c r="A62" s="3" t="s">
        <v>212</v>
      </c>
      <c r="B62" s="3" t="s">
        <v>649</v>
      </c>
      <c r="C62" s="3"/>
      <c r="D62" s="26" t="s">
        <v>213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134"/>
      <c r="R62" s="134"/>
      <c r="S62" s="148"/>
      <c r="T62" s="40">
        <f t="shared" si="6"/>
        <v>0</v>
      </c>
    </row>
    <row r="63" spans="1:20" s="77" customFormat="1" ht="25.4" customHeight="1">
      <c r="A63" s="3" t="s">
        <v>214</v>
      </c>
      <c r="B63" s="3" t="s">
        <v>649</v>
      </c>
      <c r="C63" s="3"/>
      <c r="D63" s="26" t="s">
        <v>215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134"/>
      <c r="R63" s="134"/>
      <c r="S63" s="148"/>
      <c r="T63" s="40">
        <f t="shared" si="6"/>
        <v>0</v>
      </c>
    </row>
    <row r="64" spans="1:20" s="77" customFormat="1" ht="25.4" customHeight="1">
      <c r="A64" s="3" t="s">
        <v>216</v>
      </c>
      <c r="B64" s="3" t="s">
        <v>649</v>
      </c>
      <c r="C64" s="3"/>
      <c r="D64" s="26" t="s">
        <v>217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134"/>
      <c r="R64" s="134"/>
      <c r="S64" s="148"/>
      <c r="T64" s="40">
        <f t="shared" si="6"/>
        <v>0</v>
      </c>
    </row>
    <row r="65" spans="1:20" s="77" customFormat="1" ht="25.4" customHeight="1">
      <c r="A65" s="3" t="s">
        <v>218</v>
      </c>
      <c r="B65" s="3" t="s">
        <v>649</v>
      </c>
      <c r="C65" s="3"/>
      <c r="D65" s="26" t="s">
        <v>219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134"/>
      <c r="R65" s="134"/>
      <c r="S65" s="148"/>
      <c r="T65" s="40">
        <f t="shared" si="6"/>
        <v>0</v>
      </c>
    </row>
    <row r="66" spans="1:20" s="77" customFormat="1" ht="25.4" customHeight="1">
      <c r="A66" s="3" t="s">
        <v>220</v>
      </c>
      <c r="B66" s="3" t="s">
        <v>649</v>
      </c>
      <c r="C66" s="3"/>
      <c r="D66" s="26" t="s">
        <v>221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134"/>
      <c r="R66" s="134"/>
      <c r="S66" s="148"/>
      <c r="T66" s="40">
        <f t="shared" si="6"/>
        <v>0</v>
      </c>
    </row>
    <row r="67" spans="1:20" s="77" customFormat="1" ht="25.4" customHeight="1">
      <c r="A67" s="3" t="s">
        <v>222</v>
      </c>
      <c r="B67" s="3" t="s">
        <v>649</v>
      </c>
      <c r="C67" s="3"/>
      <c r="D67" s="26" t="s">
        <v>223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134"/>
      <c r="R67" s="134"/>
      <c r="S67" s="148"/>
      <c r="T67" s="40">
        <f t="shared" si="6"/>
        <v>0</v>
      </c>
    </row>
    <row r="68" spans="1:20" s="77" customFormat="1" ht="25.4" customHeight="1">
      <c r="A68" s="3" t="s">
        <v>224</v>
      </c>
      <c r="B68" s="3" t="s">
        <v>649</v>
      </c>
      <c r="C68" s="3"/>
      <c r="D68" s="26" t="s">
        <v>225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134"/>
      <c r="R68" s="134"/>
      <c r="S68" s="148"/>
      <c r="T68" s="40">
        <f t="shared" si="6"/>
        <v>0</v>
      </c>
    </row>
    <row r="69" spans="1:20" s="77" customFormat="1" ht="25.4" customHeight="1">
      <c r="A69" s="3" t="s">
        <v>226</v>
      </c>
      <c r="B69" s="3" t="s">
        <v>649</v>
      </c>
      <c r="C69" s="3"/>
      <c r="D69" s="26" t="s">
        <v>227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134"/>
      <c r="R69" s="134"/>
      <c r="S69" s="148"/>
      <c r="T69" s="40">
        <f t="shared" si="6"/>
        <v>0</v>
      </c>
    </row>
    <row r="70" spans="1:20" s="77" customFormat="1" ht="25.4" customHeight="1">
      <c r="A70" s="3" t="s">
        <v>228</v>
      </c>
      <c r="B70" s="3" t="s">
        <v>649</v>
      </c>
      <c r="C70" s="3"/>
      <c r="D70" s="26" t="s">
        <v>229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134"/>
      <c r="R70" s="134"/>
      <c r="S70" s="148"/>
      <c r="T70" s="40">
        <f t="shared" si="6"/>
        <v>0</v>
      </c>
    </row>
    <row r="71" spans="1:20" s="77" customFormat="1" ht="25.4" customHeight="1">
      <c r="A71" s="3" t="s">
        <v>230</v>
      </c>
      <c r="B71" s="3" t="s">
        <v>649</v>
      </c>
      <c r="C71" s="3"/>
      <c r="D71" s="26" t="s">
        <v>231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134"/>
      <c r="R71" s="134"/>
      <c r="S71" s="148"/>
      <c r="T71" s="40">
        <f t="shared" si="6"/>
        <v>0</v>
      </c>
    </row>
    <row r="72" spans="1:20" s="77" customFormat="1" ht="25.4" customHeight="1">
      <c r="A72" s="3" t="s">
        <v>232</v>
      </c>
      <c r="B72" s="3" t="s">
        <v>649</v>
      </c>
      <c r="C72" s="3"/>
      <c r="D72" s="26" t="s">
        <v>233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134"/>
      <c r="R72" s="134"/>
      <c r="S72" s="148"/>
      <c r="T72" s="40">
        <f t="shared" si="6"/>
        <v>0</v>
      </c>
    </row>
    <row r="73" spans="1:20" s="77" customFormat="1" ht="25.4" customHeight="1">
      <c r="A73" s="3" t="s">
        <v>234</v>
      </c>
      <c r="B73" s="3" t="s">
        <v>649</v>
      </c>
      <c r="C73" s="3"/>
      <c r="D73" s="26" t="s">
        <v>235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134"/>
      <c r="R73" s="134"/>
      <c r="S73" s="148"/>
      <c r="T73" s="40">
        <f t="shared" si="6"/>
        <v>0</v>
      </c>
    </row>
    <row r="74" spans="1:20" s="77" customFormat="1" ht="25.4" customHeight="1">
      <c r="A74" s="3" t="s">
        <v>422</v>
      </c>
      <c r="B74" s="3" t="s">
        <v>649</v>
      </c>
      <c r="C74" s="3"/>
      <c r="D74" s="26" t="s">
        <v>423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134"/>
      <c r="R74" s="134"/>
      <c r="S74" s="148"/>
      <c r="T74" s="40">
        <f t="shared" si="6"/>
        <v>0</v>
      </c>
    </row>
    <row r="75" spans="1:20" s="77" customFormat="1" ht="25.4" customHeight="1">
      <c r="A75" s="3" t="s">
        <v>236</v>
      </c>
      <c r="B75" s="3" t="s">
        <v>649</v>
      </c>
      <c r="C75" s="3"/>
      <c r="D75" s="26" t="s">
        <v>237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134"/>
      <c r="R75" s="134"/>
      <c r="S75" s="148"/>
      <c r="T75" s="40">
        <f t="shared" si="6"/>
        <v>0</v>
      </c>
    </row>
    <row r="76" spans="1:20" s="77" customFormat="1" ht="25.4" customHeight="1">
      <c r="A76" s="3" t="s">
        <v>238</v>
      </c>
      <c r="B76" s="3" t="s">
        <v>649</v>
      </c>
      <c r="C76" s="3"/>
      <c r="D76" s="26" t="s">
        <v>239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134"/>
      <c r="R76" s="134"/>
      <c r="S76" s="148"/>
      <c r="T76" s="40">
        <f t="shared" si="6"/>
        <v>0</v>
      </c>
    </row>
    <row r="77" spans="1:20" s="77" customFormat="1" ht="25.4" customHeight="1">
      <c r="A77" s="3" t="s">
        <v>240</v>
      </c>
      <c r="B77" s="3" t="s">
        <v>649</v>
      </c>
      <c r="C77" s="3"/>
      <c r="D77" s="26" t="s">
        <v>241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134"/>
      <c r="R77" s="134"/>
      <c r="S77" s="148"/>
      <c r="T77" s="40">
        <f t="shared" si="6"/>
        <v>0</v>
      </c>
    </row>
    <row r="78" spans="1:20" s="77" customFormat="1" ht="25.4" customHeight="1">
      <c r="A78" s="3" t="s">
        <v>242</v>
      </c>
      <c r="B78" s="3" t="s">
        <v>649</v>
      </c>
      <c r="C78" s="3"/>
      <c r="D78" s="26" t="s">
        <v>243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134"/>
      <c r="R78" s="134"/>
      <c r="S78" s="148"/>
      <c r="T78" s="40">
        <f t="shared" si="6"/>
        <v>0</v>
      </c>
    </row>
    <row r="79" spans="1:20" s="77" customFormat="1" ht="25.4" customHeight="1">
      <c r="A79" s="3" t="s">
        <v>244</v>
      </c>
      <c r="B79" s="3" t="s">
        <v>649</v>
      </c>
      <c r="C79" s="3"/>
      <c r="D79" s="26" t="s">
        <v>245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134"/>
      <c r="R79" s="134"/>
      <c r="S79" s="148"/>
      <c r="T79" s="40">
        <f t="shared" si="6"/>
        <v>0</v>
      </c>
    </row>
    <row r="80" spans="1:20" s="77" customFormat="1" ht="25.4" customHeight="1">
      <c r="A80" s="3" t="s">
        <v>246</v>
      </c>
      <c r="B80" s="3" t="s">
        <v>649</v>
      </c>
      <c r="C80" s="3"/>
      <c r="D80" s="26" t="s">
        <v>247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134"/>
      <c r="R80" s="134"/>
      <c r="S80" s="148"/>
      <c r="T80" s="40">
        <f t="shared" si="6"/>
        <v>0</v>
      </c>
    </row>
    <row r="81" spans="1:20" s="77" customFormat="1" ht="25.4" customHeight="1">
      <c r="A81" s="3" t="s">
        <v>248</v>
      </c>
      <c r="B81" s="3" t="s">
        <v>649</v>
      </c>
      <c r="C81" s="3"/>
      <c r="D81" s="26" t="s">
        <v>249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134"/>
      <c r="R81" s="134"/>
      <c r="S81" s="148"/>
      <c r="T81" s="40">
        <f t="shared" si="6"/>
        <v>0</v>
      </c>
    </row>
    <row r="82" spans="1:20" s="77" customFormat="1" ht="25.4" customHeight="1">
      <c r="A82" s="3" t="s">
        <v>250</v>
      </c>
      <c r="B82" s="3" t="s">
        <v>649</v>
      </c>
      <c r="C82" s="3"/>
      <c r="D82" s="26" t="s">
        <v>251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134"/>
      <c r="R82" s="134"/>
      <c r="S82" s="148"/>
      <c r="T82" s="40">
        <f t="shared" si="6"/>
        <v>0</v>
      </c>
    </row>
    <row r="83" spans="1:20" s="77" customFormat="1" ht="25.4" customHeight="1">
      <c r="A83" s="3" t="s">
        <v>252</v>
      </c>
      <c r="B83" s="3" t="s">
        <v>649</v>
      </c>
      <c r="C83" s="3"/>
      <c r="D83" s="26" t="s">
        <v>253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134"/>
      <c r="R83" s="134"/>
      <c r="S83" s="148"/>
      <c r="T83" s="40">
        <f t="shared" si="6"/>
        <v>0</v>
      </c>
    </row>
    <row r="84" spans="1:20" s="77" customFormat="1" ht="25.4" customHeight="1">
      <c r="A84" s="3" t="s">
        <v>254</v>
      </c>
      <c r="B84" s="3" t="s">
        <v>649</v>
      </c>
      <c r="C84" s="3"/>
      <c r="D84" s="26" t="s">
        <v>255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134"/>
      <c r="R84" s="134"/>
      <c r="S84" s="148"/>
      <c r="T84" s="40">
        <f t="shared" si="6"/>
        <v>0</v>
      </c>
    </row>
    <row r="85" spans="1:20" s="77" customFormat="1" ht="25.4" customHeight="1">
      <c r="A85" s="3" t="s">
        <v>256</v>
      </c>
      <c r="B85" s="3" t="s">
        <v>649</v>
      </c>
      <c r="C85" s="3"/>
      <c r="D85" s="26" t="s">
        <v>257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134"/>
      <c r="R85" s="134"/>
      <c r="S85" s="148"/>
      <c r="T85" s="40">
        <f t="shared" si="6"/>
        <v>0</v>
      </c>
    </row>
    <row r="86" spans="1:20" s="77" customFormat="1" ht="25.4" customHeight="1">
      <c r="A86" s="3" t="s">
        <v>258</v>
      </c>
      <c r="B86" s="3" t="s">
        <v>649</v>
      </c>
      <c r="C86" s="3"/>
      <c r="D86" s="26" t="s">
        <v>259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134"/>
      <c r="R86" s="134"/>
      <c r="S86" s="148"/>
      <c r="T86" s="40">
        <f t="shared" si="6"/>
        <v>0</v>
      </c>
    </row>
    <row r="87" spans="1:20" s="77" customFormat="1" ht="25.4" customHeight="1">
      <c r="A87" s="3" t="s">
        <v>260</v>
      </c>
      <c r="B87" s="3" t="s">
        <v>649</v>
      </c>
      <c r="C87" s="3"/>
      <c r="D87" s="26" t="s">
        <v>261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134"/>
      <c r="R87" s="134"/>
      <c r="S87" s="148"/>
      <c r="T87" s="40">
        <f t="shared" si="6"/>
        <v>0</v>
      </c>
    </row>
    <row r="88" spans="1:20" s="77" customFormat="1" ht="25.4" customHeight="1">
      <c r="A88" s="3" t="s">
        <v>262</v>
      </c>
      <c r="B88" s="3" t="s">
        <v>649</v>
      </c>
      <c r="C88" s="3"/>
      <c r="D88" s="26" t="s">
        <v>263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134"/>
      <c r="R88" s="134"/>
      <c r="S88" s="148"/>
      <c r="T88" s="40">
        <f t="shared" si="6"/>
        <v>0</v>
      </c>
    </row>
    <row r="89" spans="1:20" s="77" customFormat="1" ht="25.4" customHeight="1">
      <c r="A89" s="3" t="s">
        <v>264</v>
      </c>
      <c r="B89" s="3" t="s">
        <v>649</v>
      </c>
      <c r="C89" s="3"/>
      <c r="D89" s="26" t="s">
        <v>265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134"/>
      <c r="R89" s="134"/>
      <c r="S89" s="148"/>
      <c r="T89" s="40">
        <f t="shared" si="6"/>
        <v>0</v>
      </c>
    </row>
    <row r="90" spans="1:20" s="77" customFormat="1" ht="25.4" customHeight="1">
      <c r="A90" s="3" t="s">
        <v>266</v>
      </c>
      <c r="B90" s="3" t="s">
        <v>649</v>
      </c>
      <c r="C90" s="3"/>
      <c r="D90" s="26" t="s">
        <v>267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134"/>
      <c r="R90" s="134"/>
      <c r="S90" s="148"/>
      <c r="T90" s="40">
        <f t="shared" si="6"/>
        <v>0</v>
      </c>
    </row>
    <row r="91" spans="1:20" s="77" customFormat="1" ht="25.4" customHeight="1">
      <c r="A91" s="3" t="s">
        <v>268</v>
      </c>
      <c r="B91" s="3" t="s">
        <v>649</v>
      </c>
      <c r="C91" s="3"/>
      <c r="D91" s="26" t="s">
        <v>269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134"/>
      <c r="R91" s="19"/>
      <c r="S91" s="148"/>
      <c r="T91" s="40">
        <f t="shared" si="6"/>
        <v>0</v>
      </c>
    </row>
    <row r="92" spans="1:20" s="77" customFormat="1" ht="25.4" customHeight="1">
      <c r="A92" s="3" t="s">
        <v>270</v>
      </c>
      <c r="B92" s="3" t="s">
        <v>649</v>
      </c>
      <c r="C92" s="3"/>
      <c r="D92" s="26" t="s">
        <v>271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134"/>
      <c r="R92" s="153"/>
      <c r="S92" s="148"/>
      <c r="T92" s="40">
        <f t="shared" si="6"/>
        <v>0</v>
      </c>
    </row>
    <row r="93" spans="1:20" s="77" customFormat="1" ht="25.4" customHeight="1">
      <c r="A93" s="3" t="s">
        <v>272</v>
      </c>
      <c r="B93" s="3" t="s">
        <v>649</v>
      </c>
      <c r="C93" s="3"/>
      <c r="D93" s="26" t="s">
        <v>273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134"/>
      <c r="R93" s="153"/>
      <c r="S93" s="148"/>
      <c r="T93" s="40">
        <f t="shared" si="6"/>
        <v>0</v>
      </c>
    </row>
    <row r="94" spans="1:20" s="77" customFormat="1" ht="25.4" customHeight="1">
      <c r="A94" s="3" t="s">
        <v>274</v>
      </c>
      <c r="B94" s="3" t="s">
        <v>649</v>
      </c>
      <c r="C94" s="3"/>
      <c r="D94" s="26" t="s">
        <v>275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134"/>
      <c r="R94" s="153"/>
      <c r="S94" s="148"/>
      <c r="T94" s="40">
        <f t="shared" si="6"/>
        <v>0</v>
      </c>
    </row>
    <row r="95" spans="1:20" s="77" customFormat="1" ht="25.4" customHeight="1">
      <c r="A95" s="3" t="s">
        <v>455</v>
      </c>
      <c r="B95" s="3" t="s">
        <v>649</v>
      </c>
      <c r="C95" s="3"/>
      <c r="D95" s="26" t="s">
        <v>456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134"/>
      <c r="R95" s="126" t="e">
        <f>Q95/$Q$16</f>
        <v>#DIV/0!</v>
      </c>
      <c r="S95" s="148"/>
      <c r="T95" s="40">
        <f t="shared" si="6"/>
        <v>0</v>
      </c>
    </row>
    <row r="96" spans="1:20" s="77" customFormat="1" ht="25.4" customHeight="1">
      <c r="A96" s="3"/>
      <c r="B96" s="3"/>
      <c r="C96" s="3"/>
      <c r="D96" s="19" t="s">
        <v>276</v>
      </c>
      <c r="E96" s="151">
        <f>SUM(E27:E95)</f>
        <v>0</v>
      </c>
      <c r="F96" s="151">
        <f t="shared" ref="F96:Q96" si="7">SUM(F27:F95)</f>
        <v>0</v>
      </c>
      <c r="G96" s="151">
        <f t="shared" si="7"/>
        <v>0</v>
      </c>
      <c r="H96" s="151">
        <f t="shared" si="7"/>
        <v>0</v>
      </c>
      <c r="I96" s="151">
        <f t="shared" si="7"/>
        <v>0</v>
      </c>
      <c r="J96" s="151">
        <f t="shared" si="7"/>
        <v>0</v>
      </c>
      <c r="K96" s="151">
        <f t="shared" si="7"/>
        <v>0</v>
      </c>
      <c r="L96" s="151">
        <f t="shared" si="7"/>
        <v>0</v>
      </c>
      <c r="M96" s="151">
        <f t="shared" si="7"/>
        <v>0</v>
      </c>
      <c r="N96" s="151">
        <f t="shared" si="7"/>
        <v>0</v>
      </c>
      <c r="O96" s="151">
        <f t="shared" si="7"/>
        <v>0</v>
      </c>
      <c r="P96" s="151">
        <f t="shared" si="7"/>
        <v>0</v>
      </c>
      <c r="Q96" s="154">
        <f t="shared" si="7"/>
        <v>0</v>
      </c>
      <c r="R96" s="149" t="e">
        <f>Q96/$Q$16</f>
        <v>#DIV/0!</v>
      </c>
      <c r="S96" s="148"/>
      <c r="T96" s="40">
        <f t="shared" si="6"/>
        <v>0</v>
      </c>
    </row>
    <row r="97" spans="1:20" s="77" customFormat="1" ht="25.4" customHeight="1">
      <c r="A97" s="3"/>
      <c r="B97" s="3"/>
      <c r="C97" s="3"/>
      <c r="D97" s="19" t="s">
        <v>277</v>
      </c>
      <c r="E97" s="151">
        <f>E16-E22-E24-E96</f>
        <v>0</v>
      </c>
      <c r="F97" s="151">
        <f t="shared" ref="F97:Q97" si="8">F16-F22-F24-F96</f>
        <v>0</v>
      </c>
      <c r="G97" s="151">
        <f t="shared" si="8"/>
        <v>0</v>
      </c>
      <c r="H97" s="151">
        <f t="shared" si="8"/>
        <v>0</v>
      </c>
      <c r="I97" s="151">
        <f t="shared" si="8"/>
        <v>0</v>
      </c>
      <c r="J97" s="151">
        <f t="shared" si="8"/>
        <v>0</v>
      </c>
      <c r="K97" s="151">
        <f t="shared" si="8"/>
        <v>0</v>
      </c>
      <c r="L97" s="151">
        <f t="shared" si="8"/>
        <v>0</v>
      </c>
      <c r="M97" s="151">
        <f t="shared" si="8"/>
        <v>0</v>
      </c>
      <c r="N97" s="151">
        <f t="shared" si="8"/>
        <v>0</v>
      </c>
      <c r="O97" s="151">
        <f t="shared" si="8"/>
        <v>0</v>
      </c>
      <c r="P97" s="151">
        <f t="shared" si="8"/>
        <v>0</v>
      </c>
      <c r="Q97" s="151">
        <f t="shared" si="8"/>
        <v>0</v>
      </c>
      <c r="R97" s="149"/>
      <c r="S97" s="148"/>
      <c r="T97" s="40">
        <f t="shared" ref="T97:T98" si="9">IF(Q97-S97=0,0,(Q97-S97)/S97)</f>
        <v>0</v>
      </c>
    </row>
    <row r="98" spans="1:20" s="77" customFormat="1" ht="25.4" customHeight="1">
      <c r="A98" s="3"/>
      <c r="B98" s="3"/>
      <c r="C98" s="3"/>
      <c r="D98" s="19" t="s">
        <v>278</v>
      </c>
      <c r="E98" s="129">
        <f>IF(E97=0,0,E97/E16)</f>
        <v>0</v>
      </c>
      <c r="F98" s="129">
        <f t="shared" ref="F98:Q98" si="10">IF(F97=0,0,F97/F16)</f>
        <v>0</v>
      </c>
      <c r="G98" s="129">
        <f t="shared" si="10"/>
        <v>0</v>
      </c>
      <c r="H98" s="129">
        <f t="shared" si="10"/>
        <v>0</v>
      </c>
      <c r="I98" s="129">
        <f t="shared" si="10"/>
        <v>0</v>
      </c>
      <c r="J98" s="129">
        <f t="shared" si="10"/>
        <v>0</v>
      </c>
      <c r="K98" s="129">
        <f t="shared" si="10"/>
        <v>0</v>
      </c>
      <c r="L98" s="129">
        <f t="shared" si="10"/>
        <v>0</v>
      </c>
      <c r="M98" s="129">
        <f t="shared" si="10"/>
        <v>0</v>
      </c>
      <c r="N98" s="129">
        <f t="shared" si="10"/>
        <v>0</v>
      </c>
      <c r="O98" s="129">
        <f t="shared" si="10"/>
        <v>0</v>
      </c>
      <c r="P98" s="129">
        <f t="shared" si="10"/>
        <v>0</v>
      </c>
      <c r="Q98" s="129">
        <f t="shared" si="10"/>
        <v>0</v>
      </c>
      <c r="R98" s="129"/>
      <c r="S98" s="40"/>
      <c r="T98" s="40">
        <f t="shared" si="9"/>
        <v>0</v>
      </c>
    </row>
    <row r="99" spans="1:20" s="77" customFormat="1" ht="25.4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S99" s="148"/>
    </row>
    <row r="100" spans="1:20" s="77" customFormat="1" ht="25.4" customHeight="1">
      <c r="A100" s="3"/>
      <c r="B100" s="3"/>
      <c r="C100" s="3"/>
      <c r="D100" s="19" t="s">
        <v>295</v>
      </c>
      <c r="E100" s="3"/>
      <c r="F100" s="3"/>
      <c r="G100" s="3"/>
      <c r="H100" s="3"/>
      <c r="I100" s="3"/>
      <c r="J100" s="3"/>
      <c r="K100" s="3"/>
      <c r="L100" s="3"/>
      <c r="S100" s="148"/>
    </row>
    <row r="101" spans="1:20" s="77" customFormat="1" ht="25.4" customHeight="1">
      <c r="A101" s="3"/>
      <c r="B101" s="3"/>
      <c r="C101" s="3"/>
      <c r="D101" s="19" t="s">
        <v>431</v>
      </c>
      <c r="E101" s="3"/>
      <c r="F101" s="3"/>
      <c r="G101" s="3"/>
      <c r="H101" s="3"/>
      <c r="I101" s="3"/>
      <c r="J101" s="3"/>
      <c r="K101" s="3"/>
      <c r="L101" s="3"/>
      <c r="S101" s="148"/>
    </row>
    <row r="102" spans="1:20" s="77" customFormat="1" ht="25.4" customHeight="1">
      <c r="A102" s="3" t="s">
        <v>297</v>
      </c>
      <c r="B102" s="3" t="s">
        <v>649</v>
      </c>
      <c r="C102" s="3"/>
      <c r="D102" s="3" t="s">
        <v>299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134">
        <f>SUM(E102:P102)</f>
        <v>0</v>
      </c>
      <c r="R102" s="134"/>
      <c r="S102" s="148"/>
    </row>
    <row r="103" spans="1:20" s="77" customFormat="1" ht="25.4" customHeight="1">
      <c r="A103" s="50" t="s">
        <v>300</v>
      </c>
      <c r="B103" s="3" t="s">
        <v>649</v>
      </c>
      <c r="C103" s="3"/>
      <c r="D103" s="3" t="s">
        <v>434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134">
        <f t="shared" ref="Q103:Q104" si="11">SUM(E103:P103)</f>
        <v>0</v>
      </c>
      <c r="R103" s="134"/>
      <c r="S103" s="148"/>
    </row>
    <row r="104" spans="1:20" s="77" customFormat="1" ht="25.4" customHeight="1">
      <c r="A104" s="50" t="s">
        <v>659</v>
      </c>
      <c r="B104" s="3"/>
      <c r="C104" s="3"/>
      <c r="D104" s="3" t="s">
        <v>436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134">
        <f t="shared" si="11"/>
        <v>0</v>
      </c>
      <c r="R104" s="134"/>
      <c r="S104" s="148"/>
    </row>
    <row r="105" spans="1:20" s="77" customFormat="1" ht="25.4" customHeight="1">
      <c r="A105" s="3"/>
      <c r="B105" s="3"/>
      <c r="C105" s="3"/>
      <c r="D105" s="19" t="s">
        <v>437</v>
      </c>
      <c r="E105" s="151">
        <f>SUM(E102:E104)</f>
        <v>0</v>
      </c>
      <c r="F105" s="151">
        <f t="shared" ref="F105:P105" si="12">SUM(F102:F104)</f>
        <v>0</v>
      </c>
      <c r="G105" s="151">
        <f t="shared" si="12"/>
        <v>0</v>
      </c>
      <c r="H105" s="151">
        <f t="shared" si="12"/>
        <v>0</v>
      </c>
      <c r="I105" s="151">
        <f t="shared" si="12"/>
        <v>0</v>
      </c>
      <c r="J105" s="151">
        <f t="shared" si="12"/>
        <v>0</v>
      </c>
      <c r="K105" s="151">
        <f t="shared" si="12"/>
        <v>0</v>
      </c>
      <c r="L105" s="151">
        <f t="shared" si="12"/>
        <v>0</v>
      </c>
      <c r="M105" s="151">
        <f t="shared" si="12"/>
        <v>0</v>
      </c>
      <c r="N105" s="151">
        <f t="shared" si="12"/>
        <v>0</v>
      </c>
      <c r="O105" s="151">
        <f t="shared" si="12"/>
        <v>0</v>
      </c>
      <c r="P105" s="151">
        <f t="shared" si="12"/>
        <v>0</v>
      </c>
      <c r="Q105" s="151">
        <f t="shared" ref="Q105" si="13">SUM(Q102:Q104)</f>
        <v>0</v>
      </c>
      <c r="R105" s="151"/>
      <c r="S105" s="148"/>
    </row>
    <row r="106" spans="1:20" s="77" customFormat="1" ht="25.4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152"/>
      <c r="S106" s="148"/>
    </row>
    <row r="107" spans="1:20" s="77" customFormat="1" ht="25.4" customHeight="1">
      <c r="A107" s="3" t="s">
        <v>308</v>
      </c>
      <c r="B107" s="3" t="s">
        <v>649</v>
      </c>
      <c r="C107" s="3"/>
      <c r="D107" s="26" t="s">
        <v>309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134">
        <f>SUM(E107:P107)</f>
        <v>0</v>
      </c>
      <c r="R107" s="134"/>
      <c r="S107" s="148"/>
    </row>
    <row r="108" spans="1:20" s="77" customFormat="1" ht="25.4" customHeight="1">
      <c r="A108" s="3" t="s">
        <v>310</v>
      </c>
      <c r="B108" s="3" t="s">
        <v>649</v>
      </c>
      <c r="C108" s="3"/>
      <c r="D108" s="26" t="s">
        <v>311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134">
        <f t="shared" ref="Q108:Q111" si="14">SUM(E108:P108)</f>
        <v>0</v>
      </c>
      <c r="R108" s="134"/>
      <c r="S108" s="148"/>
    </row>
    <row r="109" spans="1:20" s="77" customFormat="1" ht="25.4" customHeight="1">
      <c r="A109" s="3" t="s">
        <v>312</v>
      </c>
      <c r="B109" s="3" t="s">
        <v>649</v>
      </c>
      <c r="C109" s="3"/>
      <c r="D109" s="26" t="s">
        <v>313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134">
        <f t="shared" si="14"/>
        <v>0</v>
      </c>
      <c r="R109" s="134"/>
      <c r="S109" s="148"/>
    </row>
    <row r="110" spans="1:20" s="77" customFormat="1" ht="25.4" customHeight="1">
      <c r="A110" s="3" t="s">
        <v>314</v>
      </c>
      <c r="B110" s="3" t="s">
        <v>649</v>
      </c>
      <c r="C110" s="3"/>
      <c r="D110" s="26" t="s">
        <v>315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134">
        <f t="shared" si="14"/>
        <v>0</v>
      </c>
      <c r="R110" s="134"/>
      <c r="S110" s="148"/>
    </row>
    <row r="111" spans="1:20" s="77" customFormat="1" ht="25.4" customHeight="1">
      <c r="A111" s="3" t="s">
        <v>316</v>
      </c>
      <c r="B111" s="3" t="s">
        <v>649</v>
      </c>
      <c r="C111" s="3"/>
      <c r="D111" s="26" t="s">
        <v>317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134">
        <f t="shared" si="14"/>
        <v>0</v>
      </c>
      <c r="R111" s="134"/>
      <c r="S111" s="148"/>
    </row>
    <row r="112" spans="1:20" s="77" customFormat="1" ht="25.4" customHeight="1">
      <c r="A112" s="3"/>
      <c r="B112" s="3"/>
      <c r="C112" s="3"/>
      <c r="D112" s="19" t="s">
        <v>318</v>
      </c>
      <c r="E112" s="151">
        <f>SUM(E107:E111)</f>
        <v>0</v>
      </c>
      <c r="F112" s="151">
        <f t="shared" ref="F112:P112" si="15">SUM(F107:F111)</f>
        <v>0</v>
      </c>
      <c r="G112" s="151">
        <f t="shared" si="15"/>
        <v>0</v>
      </c>
      <c r="H112" s="151">
        <f t="shared" si="15"/>
        <v>0</v>
      </c>
      <c r="I112" s="151">
        <f t="shared" si="15"/>
        <v>0</v>
      </c>
      <c r="J112" s="151">
        <f t="shared" si="15"/>
        <v>0</v>
      </c>
      <c r="K112" s="151">
        <f t="shared" si="15"/>
        <v>0</v>
      </c>
      <c r="L112" s="151">
        <f t="shared" si="15"/>
        <v>0</v>
      </c>
      <c r="M112" s="151">
        <f t="shared" si="15"/>
        <v>0</v>
      </c>
      <c r="N112" s="151">
        <f t="shared" si="15"/>
        <v>0</v>
      </c>
      <c r="O112" s="151">
        <f t="shared" si="15"/>
        <v>0</v>
      </c>
      <c r="P112" s="151">
        <f t="shared" si="15"/>
        <v>0</v>
      </c>
      <c r="Q112" s="155">
        <f t="shared" ref="Q112" si="16">SUM(Q107:Q111)</f>
        <v>0</v>
      </c>
      <c r="R112" s="151"/>
      <c r="S112" s="148"/>
    </row>
    <row r="113" spans="1:19" s="77" customFormat="1" ht="25.4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152"/>
      <c r="S113" s="148"/>
    </row>
    <row r="114" spans="1:19" s="77" customFormat="1" ht="25.4" customHeight="1">
      <c r="A114" s="3" t="s">
        <v>319</v>
      </c>
      <c r="B114" s="3" t="s">
        <v>649</v>
      </c>
      <c r="C114" s="3"/>
      <c r="D114" s="26" t="s">
        <v>320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134">
        <f>SUM(E114:P114)</f>
        <v>0</v>
      </c>
      <c r="R114" s="134"/>
      <c r="S114" s="148"/>
    </row>
    <row r="115" spans="1:19" s="77" customFormat="1" ht="25.4" customHeight="1">
      <c r="A115" s="3" t="s">
        <v>321</v>
      </c>
      <c r="B115" s="3" t="s">
        <v>649</v>
      </c>
      <c r="C115" s="3"/>
      <c r="D115" s="26" t="s">
        <v>322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134">
        <f t="shared" ref="Q115:Q120" si="17">SUM(E115:P115)</f>
        <v>0</v>
      </c>
      <c r="R115" s="134"/>
      <c r="S115" s="148"/>
    </row>
    <row r="116" spans="1:19" s="77" customFormat="1" ht="25.4" customHeight="1">
      <c r="A116" s="3" t="s">
        <v>323</v>
      </c>
      <c r="B116" s="3" t="s">
        <v>649</v>
      </c>
      <c r="C116" s="3"/>
      <c r="D116" s="26" t="s">
        <v>324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134">
        <f t="shared" si="17"/>
        <v>0</v>
      </c>
      <c r="R116" s="134"/>
      <c r="S116" s="148"/>
    </row>
    <row r="117" spans="1:19" s="77" customFormat="1" ht="25.4" customHeight="1">
      <c r="A117" s="3" t="s">
        <v>325</v>
      </c>
      <c r="B117" s="3" t="s">
        <v>649</v>
      </c>
      <c r="C117" s="3"/>
      <c r="D117" s="26" t="s">
        <v>326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134">
        <f t="shared" si="17"/>
        <v>0</v>
      </c>
      <c r="R117" s="134"/>
      <c r="S117" s="148"/>
    </row>
    <row r="118" spans="1:19" s="77" customFormat="1" ht="25.4" customHeight="1">
      <c r="A118" s="3" t="s">
        <v>327</v>
      </c>
      <c r="B118" s="3" t="s">
        <v>649</v>
      </c>
      <c r="C118" s="3"/>
      <c r="D118" s="26" t="s">
        <v>328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134">
        <f t="shared" si="17"/>
        <v>0</v>
      </c>
      <c r="R118" s="134"/>
      <c r="S118" s="148"/>
    </row>
    <row r="119" spans="1:19" s="77" customFormat="1" ht="25.4" customHeight="1">
      <c r="A119" s="3" t="s">
        <v>329</v>
      </c>
      <c r="B119" s="3" t="s">
        <v>649</v>
      </c>
      <c r="C119" s="3"/>
      <c r="D119" s="26" t="s">
        <v>330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134">
        <f t="shared" si="17"/>
        <v>0</v>
      </c>
      <c r="R119" s="134"/>
      <c r="S119" s="148"/>
    </row>
    <row r="120" spans="1:19" s="77" customFormat="1" ht="25.4" customHeight="1">
      <c r="A120" s="3" t="s">
        <v>331</v>
      </c>
      <c r="B120" s="3" t="s">
        <v>649</v>
      </c>
      <c r="C120" s="3"/>
      <c r="D120" s="26" t="s">
        <v>332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134">
        <f t="shared" si="17"/>
        <v>0</v>
      </c>
      <c r="R120" s="134"/>
      <c r="S120" s="148"/>
    </row>
    <row r="121" spans="1:19" s="77" customFormat="1" ht="25.4" customHeight="1">
      <c r="A121" s="3" t="s">
        <v>333</v>
      </c>
      <c r="B121" s="3" t="s">
        <v>649</v>
      </c>
      <c r="C121" s="3"/>
      <c r="D121" s="26" t="s">
        <v>334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134">
        <f t="shared" ref="Q121" si="18">SUM(E121:P121)</f>
        <v>0</v>
      </c>
      <c r="R121" s="134"/>
      <c r="S121" s="148"/>
    </row>
    <row r="122" spans="1:19" s="77" customFormat="1" ht="25.4" customHeight="1">
      <c r="A122" s="3"/>
      <c r="B122" s="3"/>
      <c r="C122" s="3"/>
      <c r="D122" s="19" t="s">
        <v>335</v>
      </c>
      <c r="E122" s="151">
        <f>SUM(E114:E121)</f>
        <v>0</v>
      </c>
      <c r="F122" s="151">
        <f t="shared" ref="F122:Q122" si="19">SUM(F114:F121)</f>
        <v>0</v>
      </c>
      <c r="G122" s="151">
        <f t="shared" si="19"/>
        <v>0</v>
      </c>
      <c r="H122" s="151">
        <f t="shared" si="19"/>
        <v>0</v>
      </c>
      <c r="I122" s="151">
        <f t="shared" si="19"/>
        <v>0</v>
      </c>
      <c r="J122" s="151">
        <f t="shared" si="19"/>
        <v>0</v>
      </c>
      <c r="K122" s="151">
        <f t="shared" si="19"/>
        <v>0</v>
      </c>
      <c r="L122" s="151">
        <f t="shared" si="19"/>
        <v>0</v>
      </c>
      <c r="M122" s="151">
        <f t="shared" si="19"/>
        <v>0</v>
      </c>
      <c r="N122" s="151">
        <f t="shared" si="19"/>
        <v>0</v>
      </c>
      <c r="O122" s="151">
        <f t="shared" si="19"/>
        <v>0</v>
      </c>
      <c r="P122" s="151">
        <f t="shared" si="19"/>
        <v>0</v>
      </c>
      <c r="Q122" s="151">
        <f t="shared" si="19"/>
        <v>0</v>
      </c>
      <c r="R122" s="151"/>
      <c r="S122" s="148"/>
    </row>
    <row r="123" spans="1:19" s="77" customFormat="1" ht="25.4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152"/>
      <c r="S123" s="148"/>
    </row>
    <row r="124" spans="1:19" s="77" customFormat="1" ht="25.4" customHeight="1">
      <c r="A124" s="3" t="s">
        <v>336</v>
      </c>
      <c r="B124" s="3" t="s">
        <v>649</v>
      </c>
      <c r="C124" s="3"/>
      <c r="D124" s="26" t="s">
        <v>337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134">
        <f>SUM(E124:P124)</f>
        <v>0</v>
      </c>
      <c r="R124" s="134"/>
      <c r="S124" s="148"/>
    </row>
    <row r="125" spans="1:19" s="77" customFormat="1" ht="25.4" customHeight="1">
      <c r="A125" s="3" t="s">
        <v>338</v>
      </c>
      <c r="B125" s="3" t="s">
        <v>649</v>
      </c>
      <c r="C125" s="3"/>
      <c r="D125" s="3" t="s">
        <v>339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134">
        <f t="shared" ref="Q125:Q130" si="20">SUM(E125:P125)</f>
        <v>0</v>
      </c>
      <c r="R125" s="134"/>
      <c r="S125" s="148"/>
    </row>
    <row r="126" spans="1:19" s="77" customFormat="1" ht="25.4" customHeight="1">
      <c r="A126" s="3" t="s">
        <v>340</v>
      </c>
      <c r="B126" s="3" t="s">
        <v>649</v>
      </c>
      <c r="C126" s="3"/>
      <c r="D126" s="26" t="s">
        <v>341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134">
        <f t="shared" si="20"/>
        <v>0</v>
      </c>
      <c r="R126" s="134"/>
      <c r="S126" s="148"/>
    </row>
    <row r="127" spans="1:19" s="77" customFormat="1" ht="25.4" customHeight="1">
      <c r="A127" s="3" t="s">
        <v>342</v>
      </c>
      <c r="B127" s="3" t="s">
        <v>649</v>
      </c>
      <c r="C127" s="3"/>
      <c r="D127" s="26" t="s">
        <v>343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134">
        <f t="shared" si="20"/>
        <v>0</v>
      </c>
      <c r="R127" s="134"/>
      <c r="S127" s="148"/>
    </row>
    <row r="128" spans="1:19" s="77" customFormat="1" ht="25.4" customHeight="1">
      <c r="A128" s="3" t="s">
        <v>344</v>
      </c>
      <c r="B128" s="3" t="s">
        <v>649</v>
      </c>
      <c r="C128" s="3"/>
      <c r="D128" s="26" t="s">
        <v>345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134">
        <f t="shared" si="20"/>
        <v>0</v>
      </c>
      <c r="R128" s="134"/>
      <c r="S128" s="148"/>
    </row>
    <row r="129" spans="1:19" s="77" customFormat="1" ht="25.4" customHeight="1">
      <c r="A129" s="3" t="s">
        <v>346</v>
      </c>
      <c r="B129" s="3" t="s">
        <v>649</v>
      </c>
      <c r="C129" s="3"/>
      <c r="D129" s="26" t="s">
        <v>347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134">
        <f t="shared" si="20"/>
        <v>0</v>
      </c>
      <c r="R129" s="134"/>
      <c r="S129" s="148"/>
    </row>
    <row r="130" spans="1:19" s="77" customFormat="1" ht="25.4" customHeight="1">
      <c r="A130" s="3" t="s">
        <v>624</v>
      </c>
      <c r="B130" s="3" t="s">
        <v>649</v>
      </c>
      <c r="C130" s="3"/>
      <c r="D130" s="26" t="s">
        <v>349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134">
        <f t="shared" si="20"/>
        <v>0</v>
      </c>
      <c r="R130" s="134"/>
      <c r="S130" s="148"/>
    </row>
    <row r="131" spans="1:19" s="77" customFormat="1" ht="25.4" customHeight="1">
      <c r="A131" s="3"/>
      <c r="B131" s="3"/>
      <c r="C131" s="3"/>
      <c r="D131" s="19" t="s">
        <v>350</v>
      </c>
      <c r="E131" s="151">
        <f>SUM(E124:E130)</f>
        <v>0</v>
      </c>
      <c r="F131" s="151">
        <f t="shared" ref="F131:Q131" si="21">SUM(F124:F130)</f>
        <v>0</v>
      </c>
      <c r="G131" s="151">
        <f t="shared" si="21"/>
        <v>0</v>
      </c>
      <c r="H131" s="151">
        <f t="shared" si="21"/>
        <v>0</v>
      </c>
      <c r="I131" s="151">
        <f t="shared" si="21"/>
        <v>0</v>
      </c>
      <c r="J131" s="151">
        <f t="shared" si="21"/>
        <v>0</v>
      </c>
      <c r="K131" s="151">
        <f t="shared" si="21"/>
        <v>0</v>
      </c>
      <c r="L131" s="151">
        <f t="shared" si="21"/>
        <v>0</v>
      </c>
      <c r="M131" s="151">
        <f t="shared" si="21"/>
        <v>0</v>
      </c>
      <c r="N131" s="151">
        <f t="shared" si="21"/>
        <v>0</v>
      </c>
      <c r="O131" s="151">
        <f t="shared" si="21"/>
        <v>0</v>
      </c>
      <c r="P131" s="151">
        <f t="shared" si="21"/>
        <v>0</v>
      </c>
      <c r="Q131" s="151">
        <f t="shared" si="21"/>
        <v>0</v>
      </c>
      <c r="R131" s="151"/>
      <c r="S131" s="148"/>
    </row>
    <row r="132" spans="1:19" s="77" customFormat="1" ht="25.4" customHeight="1">
      <c r="A132" s="3"/>
      <c r="B132" s="3"/>
      <c r="C132" s="3"/>
      <c r="D132" s="19" t="s">
        <v>351</v>
      </c>
      <c r="E132" s="151">
        <f>E105+E112+E122+E131</f>
        <v>0</v>
      </c>
      <c r="F132" s="151">
        <f t="shared" ref="F132:P132" si="22">F105+F112+F122+F131</f>
        <v>0</v>
      </c>
      <c r="G132" s="151">
        <f t="shared" si="22"/>
        <v>0</v>
      </c>
      <c r="H132" s="151">
        <f t="shared" si="22"/>
        <v>0</v>
      </c>
      <c r="I132" s="151">
        <f t="shared" si="22"/>
        <v>0</v>
      </c>
      <c r="J132" s="151">
        <f t="shared" si="22"/>
        <v>0</v>
      </c>
      <c r="K132" s="151">
        <f t="shared" si="22"/>
        <v>0</v>
      </c>
      <c r="L132" s="151">
        <f t="shared" si="22"/>
        <v>0</v>
      </c>
      <c r="M132" s="151">
        <f t="shared" si="22"/>
        <v>0</v>
      </c>
      <c r="N132" s="151">
        <f t="shared" si="22"/>
        <v>0</v>
      </c>
      <c r="O132" s="151">
        <f t="shared" si="22"/>
        <v>0</v>
      </c>
      <c r="P132" s="151">
        <f t="shared" si="22"/>
        <v>0</v>
      </c>
      <c r="Q132" s="151">
        <f t="shared" ref="Q132" si="23">Q105+Q112+Q122+Q131</f>
        <v>0</v>
      </c>
      <c r="R132" s="151"/>
      <c r="S132" s="148"/>
    </row>
    <row r="133" spans="1:19" s="42" customFormat="1" ht="25.4" customHeight="1">
      <c r="S133" s="156"/>
    </row>
    <row r="134" spans="1:19" s="77" customFormat="1" ht="25.4" customHeight="1">
      <c r="A134" s="3" t="s">
        <v>108</v>
      </c>
      <c r="B134" s="3" t="s">
        <v>649</v>
      </c>
      <c r="C134" s="3"/>
      <c r="D134" s="19" t="s">
        <v>354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157">
        <f>SUM(E134:P134)/12</f>
        <v>0</v>
      </c>
      <c r="R134" s="158"/>
      <c r="S134" s="148"/>
    </row>
  </sheetData>
  <phoneticPr fontId="56" type="noConversion"/>
  <dataValidations count="25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3695725_x000d__x000a_" sqref="Q15">
      <formula1>0</formula1>
      <formula2>300</formula2>
    </dataValidation>
    <dataValidation type="textLength" errorStyle="information" allowBlank="1" showInputMessage="1" showErrorMessage="1" error="XLBVal:6=13150.84_x000d__x000a_" sqref="E12:P12">
      <formula1>0</formula1>
      <formula2>300</formula2>
    </dataValidation>
    <dataValidation type="textLength" errorStyle="information" allowBlank="1" showInputMessage="1" showErrorMessage="1" error="XLBVal:6=28034847_x000d__x000a_" sqref="Q14">
      <formula1>0</formula1>
      <formula2>300</formula2>
    </dataValidation>
    <dataValidation type="textLength" errorStyle="information" allowBlank="1" showInputMessage="1" showErrorMessage="1" error="XLBVal:5=1285238.57_x000d__x000a_" sqref="F16:R16 E22:R22 E16:E17 R95:R97">
      <formula1>0</formula1>
      <formula2>300</formula2>
    </dataValidation>
    <dataValidation type="textLength" errorStyle="information" allowBlank="1" showInputMessage="1" showErrorMessage="1" error="XLBVal:5=2443234.73_x000d__x000a_" sqref="E18">
      <formula1>0</formula1>
      <formula2>300</formula2>
    </dataValidation>
    <dataValidation type="textLength" errorStyle="information" allowBlank="1" showInputMessage="1" showErrorMessage="1" error="XLBVal:5=1616616_x000d__x000a_" sqref="G17:L17">
      <formula1>0</formula1>
      <formula2>300</formula2>
    </dataValidation>
    <dataValidation type="textLength" errorStyle="information" allowBlank="1" showInputMessage="1" showErrorMessage="1" error="XLBVal:5=3384188.86_x000d__x000a_" sqref="G18:L18">
      <formula1>0</formula1>
      <formula2>300</formula2>
    </dataValidation>
    <dataValidation type="textLength" errorStyle="information" allowBlank="1" showInputMessage="1" showErrorMessage="1" error="XLBVal:6=976708_x000d__x000a_" sqref="Q20">
      <formula1>0</formula1>
      <formula2>300</formula2>
    </dataValidation>
    <dataValidation type="textLength" errorStyle="information" allowBlank="1" showInputMessage="1" showErrorMessage="1" error="XLBVal:6=-3797.66_x000d__x000a_" sqref="E19:P19">
      <formula1>0</formula1>
      <formula2>300</formula2>
    </dataValidation>
    <dataValidation type="textLength" errorStyle="information" allowBlank="1" showInputMessage="1" showErrorMessage="1" error="XLBVal:6=25196619_x000d__x000a_" sqref="Q19">
      <formula1>0</formula1>
      <formula2>300</formula2>
    </dataValidation>
    <dataValidation type="textLength" errorStyle="information" allowBlank="1" showInputMessage="1" showErrorMessage="1" error="XLBVal:2=0_x000d__x000a_" sqref="E20:P20 E21:Q21 E23:L23 R24 E96:Q96 E121:Q121 E134:P134 R134 E27:E94 F25:F94 Q12:Q13 Q27:Q95 R12:R15 R19:R21 R27:R94 R107:R111 R114:R121 R124:R130 G27:P94 E107:P111 E102:R104 E114:P120 E13:P15 E124:P130">
      <formula1>0</formula1>
      <formula2>300</formula2>
    </dataValidation>
    <dataValidation type="textLength" errorStyle="information" allowBlank="1" showInputMessage="1" showErrorMessage="1" error="XLBVal:6=1067901.23_x000d__x000a_" sqref="E24:P24">
      <formula1>0</formula1>
      <formula2>300</formula2>
    </dataValidation>
    <dataValidation type="textLength" errorStyle="information" allowBlank="1" showInputMessage="1" showErrorMessage="1" error="XLBVal:6=30983026_x000d__x000a_" sqref="Q24">
      <formula1>0</formula1>
      <formula2>300</formula2>
    </dataValidation>
    <dataValidation type="textLength" errorStyle="information" allowBlank="1" showInputMessage="1" showErrorMessage="1" error="XLBVal:6=108592.14_x000d__x000a_" sqref="E95:P95">
      <formula1>0</formula1>
      <formula2>300</formula2>
    </dataValidation>
    <dataValidation type="textLength" errorStyle="information" allowBlank="1" showInputMessage="1" showErrorMessage="1" error="XLBVal:6=0_x000d__x000a_" sqref="E97:Q97">
      <formula1>0</formula1>
      <formula2>300</formula2>
    </dataValidation>
    <dataValidation type="textLength" errorStyle="information" allowBlank="1" showInputMessage="1" showErrorMessage="1" error="XLBVal:6=3239.86_x000d__x000a_" sqref="E98:R98">
      <formula1>0</formula1>
      <formula2>300</formula2>
    </dataValidation>
    <dataValidation type="textLength" errorStyle="information" allowBlank="1" showInputMessage="1" showErrorMessage="1" error="XLBVal:6=3678_x000d__x000a_" sqref="E123:L123">
      <formula1>0</formula1>
      <formula2>300</formula2>
    </dataValidation>
    <dataValidation type="textLength" errorStyle="information" allowBlank="1" showInputMessage="1" showErrorMessage="1" sqref="E133:L133 E99:L101">
      <formula1>0</formula1>
      <formula2>300</formula2>
    </dataValidation>
    <dataValidation type="textLength" errorStyle="information" allowBlank="1" showInputMessage="1" showErrorMessage="1" error="XLBVal:6=3780_x000d__x000a_" sqref="Q134">
      <formula1>0</formula1>
      <formula2>300</formula2>
    </dataValidation>
    <dataValidation type="textLength" errorStyle="information" allowBlank="1" showInputMessage="1" showErrorMessage="1" error="XLBVal:6=6688509.16_x000d__x000a_" sqref="E25:E26">
      <formula1>0</formula1>
      <formula2>300</formula2>
    </dataValidation>
    <dataValidation type="textLength" errorStyle="information" allowBlank="1" showInputMessage="1" showErrorMessage="1" error="XLBVal:5=0_x000d__x000a_" sqref="F17:F18">
      <formula1>0</formula1>
      <formula2>300</formula2>
    </dataValidation>
    <dataValidation type="textLength" errorStyle="information" allowBlank="1" showInputMessage="1" showErrorMessage="1" error="XLBVal:6=995082_x000d__x000a_" sqref="Q107:Q111">
      <formula1>0</formula1>
      <formula2>300</formula2>
    </dataValidation>
    <dataValidation type="textLength" errorStyle="information" allowBlank="1" showInputMessage="1" showErrorMessage="1" error="XLBVal:6=2660698_x000d__x000a_" sqref="Q114:Q120 Q124:Q130">
      <formula1>0</formula1>
      <formula2>300</formula2>
    </dataValidation>
    <dataValidation type="textLength" errorStyle="information" allowBlank="1" showInputMessage="1" showErrorMessage="1" error="XLBVal:6=6595485.04_x000d__x000a_" sqref="G25:L26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U148"/>
  <sheetViews>
    <sheetView zoomScale="50" zoomScaleNormal="50" zoomScaleSheetLayoutView="40" workbookViewId="0">
      <pane xSplit="4" ySplit="11" topLeftCell="E84" activePane="bottomRight" state="frozen"/>
      <selection activeCell="D9" sqref="D9"/>
      <selection pane="topRight" activeCell="D9" sqref="D9"/>
      <selection pane="bottomLeft" activeCell="D9" sqref="D9"/>
      <selection pane="bottomRight" activeCell="Y126" sqref="Y126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6.453125" style="6" customWidth="1" collapsed="1"/>
    <col min="5" max="9" width="22.36328125" style="7" customWidth="1"/>
    <col min="10" max="16" width="22.36328125" style="5" customWidth="1"/>
    <col min="17" max="17" width="32.453125" style="5" customWidth="1"/>
    <col min="18" max="18" width="28.08984375" style="5" hidden="1" customWidth="1"/>
    <col min="19" max="19" width="14.08984375" style="5" customWidth="1"/>
    <col min="20" max="20" width="22.453125" style="8" hidden="1" customWidth="1"/>
    <col min="21" max="21" width="22.453125" style="5" hidden="1" customWidth="1"/>
    <col min="22" max="22" width="17.36328125" style="5" bestFit="1" customWidth="1"/>
    <col min="23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T3" s="32"/>
    </row>
    <row r="4" spans="1:21" s="2" customFormat="1" ht="24.65" customHeight="1">
      <c r="D4" s="10" t="s">
        <v>15</v>
      </c>
      <c r="E4" s="11"/>
      <c r="F4" s="11"/>
      <c r="G4" s="12"/>
      <c r="H4" s="13"/>
      <c r="I4" s="13"/>
      <c r="T4" s="33"/>
    </row>
    <row r="5" spans="1:21" s="2" customFormat="1" ht="24.65" customHeight="1">
      <c r="D5" s="10" t="s">
        <v>16</v>
      </c>
      <c r="E5" s="11"/>
      <c r="F5" s="11"/>
      <c r="G5" s="12"/>
      <c r="H5" s="13"/>
      <c r="I5" s="13"/>
      <c r="T5" s="33"/>
    </row>
    <row r="6" spans="1:21" s="2" customFormat="1" ht="24.65" customHeight="1">
      <c r="D6" s="14" t="s">
        <v>660</v>
      </c>
      <c r="E6" s="13"/>
      <c r="F6" s="13"/>
      <c r="G6" s="13"/>
      <c r="H6" s="13"/>
      <c r="I6" s="13"/>
      <c r="T6" s="33"/>
    </row>
    <row r="7" spans="1:21" s="2" customFormat="1" ht="24.65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4.65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T10" s="36" t="s">
        <v>23</v>
      </c>
      <c r="U10" s="37" t="s">
        <v>24</v>
      </c>
    </row>
    <row r="11" spans="1:21" s="3" customFormat="1" ht="25.4" hidden="1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600</v>
      </c>
      <c r="D12" s="21" t="s">
        <v>139</v>
      </c>
      <c r="E12" s="43">
        <f>+E122</f>
        <v>127199.84</v>
      </c>
      <c r="F12" s="43">
        <f t="shared" ref="F12:P12" si="0">+F122</f>
        <v>116357.06</v>
      </c>
      <c r="G12" s="43">
        <f t="shared" si="0"/>
        <v>131099.69</v>
      </c>
      <c r="H12" s="43">
        <f t="shared" si="0"/>
        <v>138720.24000000002</v>
      </c>
      <c r="I12" s="43">
        <f t="shared" si="0"/>
        <v>139164.57999999999</v>
      </c>
      <c r="J12" s="43">
        <f t="shared" si="0"/>
        <v>130428.75</v>
      </c>
      <c r="K12" s="43">
        <f t="shared" si="0"/>
        <v>130260.32999999999</v>
      </c>
      <c r="L12" s="43">
        <f t="shared" si="0"/>
        <v>130292.57999999999</v>
      </c>
      <c r="M12" s="43">
        <f t="shared" si="0"/>
        <v>130354.59</v>
      </c>
      <c r="N12" s="43">
        <f t="shared" si="0"/>
        <v>137656.53999999998</v>
      </c>
      <c r="O12" s="43">
        <f t="shared" si="0"/>
        <v>133035.04999999999</v>
      </c>
      <c r="P12" s="43">
        <f t="shared" si="0"/>
        <v>133370.44</v>
      </c>
      <c r="Q12" s="43">
        <f>SUM(E12:P12)</f>
        <v>1577939.69</v>
      </c>
      <c r="R12" s="43">
        <v>8988613.5600000005</v>
      </c>
      <c r="S12" s="39">
        <v>0.29458889823048112</v>
      </c>
      <c r="T12" s="35"/>
      <c r="U12" s="40" t="e">
        <f>-IF(Q12-T12=0,0,(Q12-T12)/T12)</f>
        <v>#DIV/0!</v>
      </c>
    </row>
    <row r="13" spans="1:21" s="3" customFormat="1" ht="25.4" customHeight="1">
      <c r="D13" s="26"/>
      <c r="E13" s="24"/>
      <c r="F13" s="24"/>
      <c r="G13" s="24"/>
      <c r="H13" s="25"/>
      <c r="I13" s="25"/>
      <c r="J13" s="25"/>
      <c r="K13" s="25"/>
      <c r="L13" s="25"/>
      <c r="M13" s="25"/>
      <c r="N13" s="25"/>
      <c r="O13" s="25"/>
      <c r="P13" s="25"/>
      <c r="T13" s="35"/>
      <c r="U13" s="40"/>
    </row>
    <row r="14" spans="1:21" s="3" customFormat="1" ht="25.4" customHeight="1">
      <c r="D14" s="21" t="s">
        <v>140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3">
        <f>SUM(E14:P14)</f>
        <v>0</v>
      </c>
      <c r="S14" s="34" t="s">
        <v>421</v>
      </c>
      <c r="T14" s="136"/>
      <c r="U14" s="40"/>
    </row>
    <row r="15" spans="1:21" s="3" customFormat="1" ht="25.4" customHeight="1">
      <c r="A15" s="3" t="s">
        <v>468</v>
      </c>
      <c r="B15" s="3" t="s">
        <v>600</v>
      </c>
      <c r="D15" s="26" t="s">
        <v>469</v>
      </c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">
        <f>SUM(E15:P15)</f>
        <v>0</v>
      </c>
      <c r="R15" s="3">
        <v>0</v>
      </c>
      <c r="S15" s="134" t="e">
        <f>R15/#REF!</f>
        <v>#REF!</v>
      </c>
      <c r="T15" s="35"/>
      <c r="U15" s="40">
        <f t="shared" ref="U15:U22" si="1">IF(Q15-T15=0,0,(Q15-T15)/T15)</f>
        <v>0</v>
      </c>
    </row>
    <row r="16" spans="1:21" s="3" customFormat="1" ht="25.4" customHeight="1">
      <c r="A16" s="3" t="s">
        <v>470</v>
      </c>
      <c r="B16" s="3" t="s">
        <v>600</v>
      </c>
      <c r="D16" s="28" t="s">
        <v>471</v>
      </c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">
        <f t="shared" ref="Q16:Q79" si="2">SUM(E16:P16)</f>
        <v>0</v>
      </c>
      <c r="R16" s="3">
        <v>0</v>
      </c>
      <c r="T16" s="35"/>
      <c r="U16" s="40">
        <f t="shared" si="1"/>
        <v>0</v>
      </c>
    </row>
    <row r="17" spans="1:21" s="3" customFormat="1" ht="25.4" customHeight="1">
      <c r="A17" s="3" t="s">
        <v>472</v>
      </c>
      <c r="B17" s="3" t="s">
        <v>600</v>
      </c>
      <c r="D17" s="26" t="s">
        <v>473</v>
      </c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">
        <f t="shared" si="2"/>
        <v>0</v>
      </c>
      <c r="R17" s="3">
        <v>0</v>
      </c>
      <c r="T17" s="35"/>
      <c r="U17" s="40">
        <f t="shared" si="1"/>
        <v>0</v>
      </c>
    </row>
    <row r="18" spans="1:21" s="3" customFormat="1" ht="25.4" customHeight="1">
      <c r="A18" s="3" t="s">
        <v>474</v>
      </c>
      <c r="B18" s="3" t="s">
        <v>600</v>
      </c>
      <c r="D18" s="26" t="s">
        <v>475</v>
      </c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">
        <f t="shared" si="2"/>
        <v>0</v>
      </c>
      <c r="R18" s="3">
        <v>0</v>
      </c>
      <c r="T18" s="35"/>
      <c r="U18" s="40">
        <f t="shared" si="1"/>
        <v>0</v>
      </c>
    </row>
    <row r="19" spans="1:21" s="3" customFormat="1" ht="25.4" customHeight="1">
      <c r="A19" s="3" t="s">
        <v>476</v>
      </c>
      <c r="B19" s="3" t="s">
        <v>600</v>
      </c>
      <c r="D19" s="29" t="s">
        <v>477</v>
      </c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">
        <f t="shared" si="2"/>
        <v>0</v>
      </c>
      <c r="R19" s="3">
        <v>0</v>
      </c>
      <c r="T19" s="35"/>
      <c r="U19" s="40">
        <f t="shared" si="1"/>
        <v>0</v>
      </c>
    </row>
    <row r="20" spans="1:21" s="3" customFormat="1" ht="25.4" customHeight="1">
      <c r="A20" s="3" t="s">
        <v>478</v>
      </c>
      <c r="B20" s="3" t="s">
        <v>600</v>
      </c>
      <c r="D20" s="29" t="s">
        <v>479</v>
      </c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">
        <f t="shared" si="2"/>
        <v>0</v>
      </c>
      <c r="R20" s="3">
        <v>0</v>
      </c>
      <c r="T20" s="35"/>
      <c r="U20" s="40">
        <f t="shared" si="1"/>
        <v>0</v>
      </c>
    </row>
    <row r="21" spans="1:21" s="3" customFormat="1" ht="25.4" customHeight="1">
      <c r="A21" s="3" t="s">
        <v>480</v>
      </c>
      <c r="B21" s="3" t="s">
        <v>600</v>
      </c>
      <c r="D21" s="26" t="s">
        <v>481</v>
      </c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">
        <f t="shared" si="2"/>
        <v>0</v>
      </c>
      <c r="R21" s="3">
        <v>0</v>
      </c>
      <c r="T21" s="35"/>
      <c r="U21" s="40">
        <f t="shared" si="1"/>
        <v>0</v>
      </c>
    </row>
    <row r="22" spans="1:21" s="3" customFormat="1" ht="25.4" customHeight="1">
      <c r="A22" s="3" t="s">
        <v>482</v>
      </c>
      <c r="B22" s="3" t="s">
        <v>600</v>
      </c>
      <c r="D22" s="29" t="s">
        <v>483</v>
      </c>
      <c r="E22" s="386">
        <v>1000</v>
      </c>
      <c r="F22" s="386">
        <v>1000</v>
      </c>
      <c r="G22" s="386">
        <v>1000</v>
      </c>
      <c r="H22" s="386">
        <v>1000</v>
      </c>
      <c r="I22" s="386">
        <v>1000</v>
      </c>
      <c r="J22" s="386">
        <v>1000</v>
      </c>
      <c r="K22" s="386">
        <v>1000</v>
      </c>
      <c r="L22" s="386">
        <v>1000</v>
      </c>
      <c r="M22" s="386">
        <v>1000</v>
      </c>
      <c r="N22" s="386">
        <v>1000</v>
      </c>
      <c r="O22" s="386">
        <v>1000</v>
      </c>
      <c r="P22" s="386">
        <v>1000</v>
      </c>
      <c r="Q22" s="3">
        <f t="shared" si="2"/>
        <v>12000</v>
      </c>
      <c r="R22" s="3">
        <v>0</v>
      </c>
      <c r="T22" s="35"/>
      <c r="U22" s="40" t="e">
        <f t="shared" si="1"/>
        <v>#DIV/0!</v>
      </c>
    </row>
    <row r="23" spans="1:21" s="3" customFormat="1" ht="25.4" customHeight="1">
      <c r="A23" s="3" t="s">
        <v>484</v>
      </c>
      <c r="B23" s="3" t="s">
        <v>600</v>
      </c>
      <c r="D23" s="26" t="s">
        <v>485</v>
      </c>
      <c r="E23" s="386">
        <v>7500</v>
      </c>
      <c r="F23" s="386">
        <v>7500</v>
      </c>
      <c r="G23" s="386">
        <v>7500</v>
      </c>
      <c r="H23" s="386">
        <v>7500</v>
      </c>
      <c r="I23" s="386">
        <v>7500</v>
      </c>
      <c r="J23" s="386">
        <v>7500</v>
      </c>
      <c r="K23" s="386">
        <v>7500</v>
      </c>
      <c r="L23" s="386">
        <v>7500</v>
      </c>
      <c r="M23" s="386">
        <v>7500</v>
      </c>
      <c r="N23" s="386">
        <v>7500</v>
      </c>
      <c r="O23" s="386">
        <v>7500</v>
      </c>
      <c r="P23" s="386">
        <v>7500</v>
      </c>
      <c r="Q23" s="3">
        <f t="shared" si="2"/>
        <v>90000</v>
      </c>
      <c r="R23" s="3">
        <v>719109.44</v>
      </c>
      <c r="S23" s="3">
        <v>0</v>
      </c>
      <c r="T23" s="137"/>
      <c r="U23" s="40" t="e">
        <f>-IF(Q23-T23=0,0,(Q23-T23)/T23)</f>
        <v>#DIV/0!</v>
      </c>
    </row>
    <row r="24" spans="1:21" s="3" customFormat="1" ht="25.4" customHeight="1">
      <c r="A24" s="3" t="s">
        <v>486</v>
      </c>
      <c r="B24" s="3" t="s">
        <v>600</v>
      </c>
      <c r="D24" s="26" t="s">
        <v>487</v>
      </c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">
        <f t="shared" si="2"/>
        <v>0</v>
      </c>
      <c r="R24" s="3">
        <v>0</v>
      </c>
      <c r="T24" s="35"/>
      <c r="U24" s="40">
        <f t="shared" ref="U24:U86" si="3">-IF(Q24-T24=0,0,(Q24-T24)/T24)</f>
        <v>0</v>
      </c>
    </row>
    <row r="25" spans="1:21" s="3" customFormat="1" ht="25.4" customHeight="1">
      <c r="A25" s="3" t="s">
        <v>488</v>
      </c>
      <c r="B25" s="3" t="s">
        <v>600</v>
      </c>
      <c r="D25" s="26" t="s">
        <v>489</v>
      </c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">
        <f t="shared" si="2"/>
        <v>0</v>
      </c>
      <c r="R25" s="3">
        <v>2000</v>
      </c>
      <c r="T25" s="35"/>
      <c r="U25" s="40">
        <f t="shared" si="3"/>
        <v>0</v>
      </c>
    </row>
    <row r="26" spans="1:21" s="3" customFormat="1" ht="25.4" customHeight="1">
      <c r="A26" s="3" t="s">
        <v>490</v>
      </c>
      <c r="B26" s="3" t="s">
        <v>600</v>
      </c>
      <c r="D26" s="26" t="s">
        <v>491</v>
      </c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">
        <f t="shared" si="2"/>
        <v>0</v>
      </c>
      <c r="R26" s="3">
        <v>154046.97</v>
      </c>
      <c r="T26" s="35"/>
      <c r="U26" s="40">
        <f t="shared" si="3"/>
        <v>0</v>
      </c>
    </row>
    <row r="27" spans="1:21" s="3" customFormat="1" ht="25.4" customHeight="1">
      <c r="A27" s="3" t="s">
        <v>492</v>
      </c>
      <c r="B27" s="3" t="s">
        <v>600</v>
      </c>
      <c r="D27" s="26" t="s">
        <v>493</v>
      </c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">
        <f t="shared" si="2"/>
        <v>0</v>
      </c>
      <c r="R27" s="3">
        <v>0</v>
      </c>
      <c r="T27" s="35"/>
      <c r="U27" s="40">
        <f t="shared" si="3"/>
        <v>0</v>
      </c>
    </row>
    <row r="28" spans="1:21" s="3" customFormat="1" ht="25.4" customHeight="1">
      <c r="A28" s="3" t="s">
        <v>494</v>
      </c>
      <c r="B28" s="3" t="s">
        <v>600</v>
      </c>
      <c r="D28" s="26" t="s">
        <v>495</v>
      </c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">
        <f t="shared" si="2"/>
        <v>0</v>
      </c>
      <c r="R28" s="3">
        <v>0</v>
      </c>
      <c r="T28" s="35"/>
      <c r="U28" s="40">
        <f t="shared" si="3"/>
        <v>0</v>
      </c>
    </row>
    <row r="29" spans="1:21" s="3" customFormat="1" ht="25.4" customHeight="1">
      <c r="A29" s="3" t="s">
        <v>496</v>
      </c>
      <c r="B29" s="3" t="s">
        <v>600</v>
      </c>
      <c r="D29" s="26" t="s">
        <v>171</v>
      </c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">
        <f t="shared" si="2"/>
        <v>0</v>
      </c>
      <c r="R29" s="3">
        <v>0</v>
      </c>
      <c r="T29" s="35"/>
      <c r="U29" s="40">
        <f t="shared" si="3"/>
        <v>0</v>
      </c>
    </row>
    <row r="30" spans="1:21" s="3" customFormat="1" ht="25.4" customHeight="1">
      <c r="A30" s="3" t="s">
        <v>497</v>
      </c>
      <c r="B30" s="3" t="s">
        <v>600</v>
      </c>
      <c r="D30" s="26" t="s">
        <v>173</v>
      </c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">
        <f t="shared" si="2"/>
        <v>0</v>
      </c>
      <c r="R30" s="3">
        <v>0</v>
      </c>
      <c r="T30" s="35"/>
      <c r="U30" s="40">
        <f t="shared" si="3"/>
        <v>0</v>
      </c>
    </row>
    <row r="31" spans="1:21" s="3" customFormat="1" ht="25.4" customHeight="1">
      <c r="A31" s="3" t="s">
        <v>498</v>
      </c>
      <c r="B31" s="3" t="s">
        <v>600</v>
      </c>
      <c r="D31" s="26" t="s">
        <v>499</v>
      </c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">
        <f t="shared" si="2"/>
        <v>0</v>
      </c>
      <c r="R31" s="3">
        <v>0</v>
      </c>
      <c r="T31" s="35"/>
      <c r="U31" s="40">
        <f t="shared" si="3"/>
        <v>0</v>
      </c>
    </row>
    <row r="32" spans="1:21" s="3" customFormat="1" ht="25.4" customHeight="1">
      <c r="A32" s="3" t="s">
        <v>500</v>
      </c>
      <c r="B32" s="3" t="s">
        <v>600</v>
      </c>
      <c r="D32" s="26" t="s">
        <v>501</v>
      </c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">
        <f t="shared" si="2"/>
        <v>0</v>
      </c>
      <c r="R32" s="3">
        <v>0</v>
      </c>
      <c r="T32" s="35"/>
      <c r="U32" s="40">
        <f t="shared" si="3"/>
        <v>0</v>
      </c>
    </row>
    <row r="33" spans="1:21" s="3" customFormat="1" ht="25.4" customHeight="1">
      <c r="A33" s="3" t="s">
        <v>502</v>
      </c>
      <c r="B33" s="3" t="s">
        <v>600</v>
      </c>
      <c r="D33" s="26" t="s">
        <v>503</v>
      </c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">
        <f t="shared" si="2"/>
        <v>0</v>
      </c>
      <c r="R33" s="3">
        <v>0</v>
      </c>
      <c r="T33" s="35"/>
      <c r="U33" s="40">
        <f t="shared" si="3"/>
        <v>0</v>
      </c>
    </row>
    <row r="34" spans="1:21" s="3" customFormat="1" ht="25.4" customHeight="1">
      <c r="A34" s="3" t="s">
        <v>504</v>
      </c>
      <c r="B34" s="3" t="s">
        <v>600</v>
      </c>
      <c r="D34" s="26" t="s">
        <v>505</v>
      </c>
      <c r="E34" s="386">
        <v>2000</v>
      </c>
      <c r="F34" s="386">
        <v>2000</v>
      </c>
      <c r="G34" s="386">
        <v>2000</v>
      </c>
      <c r="H34" s="386">
        <v>2000</v>
      </c>
      <c r="I34" s="386">
        <v>2000</v>
      </c>
      <c r="J34" s="386">
        <v>2000</v>
      </c>
      <c r="K34" s="386">
        <v>2000</v>
      </c>
      <c r="L34" s="386">
        <v>2000</v>
      </c>
      <c r="M34" s="386">
        <v>2000</v>
      </c>
      <c r="N34" s="386">
        <v>2000</v>
      </c>
      <c r="O34" s="386">
        <v>2000</v>
      </c>
      <c r="P34" s="386">
        <v>2000</v>
      </c>
      <c r="Q34" s="3">
        <f t="shared" si="2"/>
        <v>24000</v>
      </c>
      <c r="R34" s="3">
        <v>0</v>
      </c>
      <c r="T34" s="35"/>
      <c r="U34" s="40" t="e">
        <f t="shared" si="3"/>
        <v>#DIV/0!</v>
      </c>
    </row>
    <row r="35" spans="1:21" s="3" customFormat="1" ht="25.4" customHeight="1">
      <c r="A35" s="3" t="s">
        <v>506</v>
      </c>
      <c r="B35" s="3" t="s">
        <v>600</v>
      </c>
      <c r="D35" s="26" t="s">
        <v>507</v>
      </c>
      <c r="E35" s="386">
        <v>3000</v>
      </c>
      <c r="F35" s="386">
        <v>3000</v>
      </c>
      <c r="G35" s="386">
        <v>3000</v>
      </c>
      <c r="H35" s="386">
        <v>3000</v>
      </c>
      <c r="I35" s="386">
        <v>3000</v>
      </c>
      <c r="J35" s="386">
        <v>3000</v>
      </c>
      <c r="K35" s="386">
        <v>3000</v>
      </c>
      <c r="L35" s="386">
        <v>3000</v>
      </c>
      <c r="M35" s="386">
        <v>3000</v>
      </c>
      <c r="N35" s="386">
        <v>3000</v>
      </c>
      <c r="O35" s="386">
        <v>3000</v>
      </c>
      <c r="P35" s="386">
        <v>3000</v>
      </c>
      <c r="Q35" s="3">
        <f t="shared" si="2"/>
        <v>36000</v>
      </c>
      <c r="R35" s="3">
        <v>0</v>
      </c>
      <c r="S35" s="3">
        <v>0.90126176647306233</v>
      </c>
      <c r="T35" s="35"/>
      <c r="U35" s="40" t="e">
        <f t="shared" si="3"/>
        <v>#DIV/0!</v>
      </c>
    </row>
    <row r="36" spans="1:21" s="3" customFormat="1" ht="25.4" customHeight="1">
      <c r="A36" s="3" t="s">
        <v>508</v>
      </c>
      <c r="B36" s="3" t="s">
        <v>600</v>
      </c>
      <c r="D36" s="26" t="s">
        <v>509</v>
      </c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">
        <f t="shared" si="2"/>
        <v>0</v>
      </c>
      <c r="R36" s="3">
        <v>0</v>
      </c>
      <c r="S36" s="3">
        <v>0</v>
      </c>
      <c r="T36" s="35"/>
      <c r="U36" s="40">
        <f t="shared" si="3"/>
        <v>0</v>
      </c>
    </row>
    <row r="37" spans="1:21" s="3" customFormat="1" ht="25.4" customHeight="1">
      <c r="A37" s="3" t="s">
        <v>510</v>
      </c>
      <c r="B37" s="3" t="s">
        <v>600</v>
      </c>
      <c r="D37" s="26" t="s">
        <v>511</v>
      </c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">
        <f t="shared" si="2"/>
        <v>0</v>
      </c>
      <c r="R37" s="3">
        <v>0</v>
      </c>
      <c r="S37" s="3">
        <v>0</v>
      </c>
      <c r="T37" s="35"/>
      <c r="U37" s="40">
        <f t="shared" si="3"/>
        <v>0</v>
      </c>
    </row>
    <row r="38" spans="1:21" s="3" customFormat="1" ht="25.4" customHeight="1">
      <c r="A38" s="3" t="s">
        <v>512</v>
      </c>
      <c r="B38" s="3" t="s">
        <v>600</v>
      </c>
      <c r="D38" s="26" t="s">
        <v>513</v>
      </c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">
        <f t="shared" si="2"/>
        <v>0</v>
      </c>
      <c r="R38" s="3">
        <v>0</v>
      </c>
      <c r="S38" s="3">
        <v>0</v>
      </c>
      <c r="T38" s="35"/>
      <c r="U38" s="40">
        <f t="shared" si="3"/>
        <v>0</v>
      </c>
    </row>
    <row r="39" spans="1:21" s="3" customFormat="1" ht="25.4" customHeight="1">
      <c r="A39" s="3" t="s">
        <v>514</v>
      </c>
      <c r="B39" s="3" t="s">
        <v>600</v>
      </c>
      <c r="D39" s="26" t="s">
        <v>515</v>
      </c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">
        <f t="shared" si="2"/>
        <v>0</v>
      </c>
      <c r="R39" s="3">
        <v>0</v>
      </c>
      <c r="S39" s="3">
        <v>0</v>
      </c>
      <c r="T39" s="35"/>
      <c r="U39" s="40">
        <f t="shared" si="3"/>
        <v>0</v>
      </c>
    </row>
    <row r="40" spans="1:21" s="3" customFormat="1" ht="25.4" customHeight="1">
      <c r="A40" s="3" t="s">
        <v>516</v>
      </c>
      <c r="B40" s="3" t="s">
        <v>600</v>
      </c>
      <c r="D40" s="26" t="s">
        <v>517</v>
      </c>
      <c r="E40" s="386">
        <v>11000</v>
      </c>
      <c r="F40" s="386">
        <v>11000</v>
      </c>
      <c r="G40" s="386">
        <v>11000</v>
      </c>
      <c r="H40" s="386">
        <v>11000</v>
      </c>
      <c r="I40" s="386">
        <v>11000</v>
      </c>
      <c r="J40" s="386">
        <v>11000</v>
      </c>
      <c r="K40" s="386">
        <v>11000</v>
      </c>
      <c r="L40" s="386">
        <v>11000</v>
      </c>
      <c r="M40" s="386">
        <v>11000</v>
      </c>
      <c r="N40" s="386">
        <v>11000</v>
      </c>
      <c r="O40" s="386">
        <v>11000</v>
      </c>
      <c r="P40" s="386">
        <v>11000</v>
      </c>
      <c r="Q40" s="3">
        <f t="shared" si="2"/>
        <v>132000</v>
      </c>
      <c r="R40" s="3">
        <v>0</v>
      </c>
      <c r="S40" s="3">
        <v>3.3046264770678953</v>
      </c>
      <c r="T40" s="35"/>
      <c r="U40" s="40" t="e">
        <f t="shared" si="3"/>
        <v>#DIV/0!</v>
      </c>
    </row>
    <row r="41" spans="1:21" s="3" customFormat="1" ht="25.4" customHeight="1">
      <c r="A41" s="3" t="s">
        <v>518</v>
      </c>
      <c r="B41" s="3" t="s">
        <v>600</v>
      </c>
      <c r="D41" s="26" t="s">
        <v>519</v>
      </c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">
        <f t="shared" si="2"/>
        <v>0</v>
      </c>
      <c r="R41" s="3">
        <v>0</v>
      </c>
      <c r="S41" s="3">
        <v>0</v>
      </c>
      <c r="T41" s="35"/>
      <c r="U41" s="40">
        <f t="shared" si="3"/>
        <v>0</v>
      </c>
    </row>
    <row r="42" spans="1:21" s="3" customFormat="1" ht="25.4" customHeight="1">
      <c r="A42" s="3" t="s">
        <v>520</v>
      </c>
      <c r="B42" s="3" t="s">
        <v>600</v>
      </c>
      <c r="D42" s="26" t="s">
        <v>521</v>
      </c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">
        <f t="shared" si="2"/>
        <v>0</v>
      </c>
      <c r="R42" s="3">
        <v>0</v>
      </c>
      <c r="S42" s="3">
        <v>0</v>
      </c>
      <c r="T42" s="35"/>
      <c r="U42" s="40">
        <f t="shared" si="3"/>
        <v>0</v>
      </c>
    </row>
    <row r="43" spans="1:21" s="3" customFormat="1" ht="25.4" customHeight="1">
      <c r="A43" s="3" t="s">
        <v>522</v>
      </c>
      <c r="B43" s="3" t="s">
        <v>600</v>
      </c>
      <c r="D43" s="26" t="s">
        <v>1262</v>
      </c>
      <c r="E43" s="387">
        <f>12*E124</f>
        <v>204</v>
      </c>
      <c r="F43" s="387">
        <f t="shared" ref="F43:P43" si="4">12*F124</f>
        <v>192</v>
      </c>
      <c r="G43" s="387">
        <f t="shared" si="4"/>
        <v>216</v>
      </c>
      <c r="H43" s="387">
        <f t="shared" si="4"/>
        <v>228</v>
      </c>
      <c r="I43" s="387">
        <f t="shared" si="4"/>
        <v>228</v>
      </c>
      <c r="J43" s="387">
        <f t="shared" si="4"/>
        <v>216</v>
      </c>
      <c r="K43" s="387">
        <f t="shared" si="4"/>
        <v>216</v>
      </c>
      <c r="L43" s="387">
        <f t="shared" si="4"/>
        <v>216</v>
      </c>
      <c r="M43" s="387">
        <f t="shared" si="4"/>
        <v>216</v>
      </c>
      <c r="N43" s="387">
        <f t="shared" si="4"/>
        <v>228</v>
      </c>
      <c r="O43" s="387">
        <f t="shared" si="4"/>
        <v>228</v>
      </c>
      <c r="P43" s="387">
        <f t="shared" si="4"/>
        <v>228</v>
      </c>
      <c r="Q43" s="3">
        <f t="shared" si="2"/>
        <v>2616</v>
      </c>
      <c r="R43" s="3">
        <v>29590.75</v>
      </c>
      <c r="S43" s="3">
        <v>6.6693370719006606E-2</v>
      </c>
      <c r="T43" s="35"/>
      <c r="U43" s="40" t="e">
        <f t="shared" si="3"/>
        <v>#DIV/0!</v>
      </c>
    </row>
    <row r="44" spans="1:21" s="3" customFormat="1" ht="24.75" customHeight="1">
      <c r="A44" s="3" t="s">
        <v>524</v>
      </c>
      <c r="B44" s="3" t="s">
        <v>600</v>
      </c>
      <c r="D44" s="26" t="s">
        <v>1270</v>
      </c>
      <c r="E44" s="387"/>
      <c r="F44" s="387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">
        <f t="shared" si="2"/>
        <v>0</v>
      </c>
      <c r="R44" s="3">
        <v>0</v>
      </c>
      <c r="S44" s="3">
        <v>0</v>
      </c>
      <c r="T44" s="35"/>
      <c r="U44" s="40">
        <f t="shared" si="3"/>
        <v>0</v>
      </c>
    </row>
    <row r="45" spans="1:21" s="3" customFormat="1" ht="25.4" hidden="1" customHeight="1">
      <c r="A45" s="3" t="s">
        <v>526</v>
      </c>
      <c r="B45" s="3" t="s">
        <v>600</v>
      </c>
      <c r="D45" s="26" t="s">
        <v>1271</v>
      </c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">
        <f t="shared" si="2"/>
        <v>0</v>
      </c>
      <c r="R45" s="3">
        <v>0</v>
      </c>
      <c r="S45" s="3">
        <v>0</v>
      </c>
      <c r="T45" s="35"/>
      <c r="U45" s="40">
        <f t="shared" si="3"/>
        <v>0</v>
      </c>
    </row>
    <row r="46" spans="1:21" s="3" customFormat="1" ht="25.4" hidden="1" customHeight="1">
      <c r="A46" s="3" t="s">
        <v>528</v>
      </c>
      <c r="B46" s="3" t="s">
        <v>600</v>
      </c>
      <c r="D46" s="29" t="s">
        <v>1272</v>
      </c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">
        <f t="shared" si="2"/>
        <v>0</v>
      </c>
      <c r="R46" s="3">
        <v>0</v>
      </c>
      <c r="S46" s="3">
        <v>0</v>
      </c>
      <c r="T46" s="35"/>
      <c r="U46" s="40">
        <f t="shared" si="3"/>
        <v>0</v>
      </c>
    </row>
    <row r="47" spans="1:21" s="3" customFormat="1" ht="25.4" hidden="1" customHeight="1">
      <c r="A47" s="3" t="s">
        <v>530</v>
      </c>
      <c r="B47" s="3" t="s">
        <v>600</v>
      </c>
      <c r="D47" s="26" t="s">
        <v>1273</v>
      </c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">
        <f t="shared" si="2"/>
        <v>0</v>
      </c>
      <c r="R47" s="3">
        <v>0</v>
      </c>
      <c r="S47" s="3">
        <v>0</v>
      </c>
      <c r="T47" s="35"/>
      <c r="U47" s="40">
        <f t="shared" si="3"/>
        <v>0</v>
      </c>
    </row>
    <row r="48" spans="1:21" s="3" customFormat="1" ht="25.4" hidden="1" customHeight="1">
      <c r="A48" s="3" t="s">
        <v>532</v>
      </c>
      <c r="B48" s="3" t="s">
        <v>600</v>
      </c>
      <c r="D48" s="26" t="s">
        <v>1274</v>
      </c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">
        <f t="shared" si="2"/>
        <v>0</v>
      </c>
      <c r="R48" s="3">
        <v>0</v>
      </c>
      <c r="S48" s="3">
        <v>0</v>
      </c>
      <c r="T48" s="35"/>
      <c r="U48" s="40">
        <f t="shared" si="3"/>
        <v>0</v>
      </c>
    </row>
    <row r="49" spans="1:21" s="3" customFormat="1" ht="25.4" hidden="1" customHeight="1">
      <c r="A49" s="3" t="s">
        <v>534</v>
      </c>
      <c r="B49" s="3" t="s">
        <v>600</v>
      </c>
      <c r="D49" s="26" t="s">
        <v>1127</v>
      </c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">
        <f t="shared" si="2"/>
        <v>0</v>
      </c>
      <c r="R49" s="3">
        <v>0</v>
      </c>
      <c r="S49" s="3">
        <v>0</v>
      </c>
      <c r="T49" s="35"/>
      <c r="U49" s="40">
        <f t="shared" si="3"/>
        <v>0</v>
      </c>
    </row>
    <row r="50" spans="1:21" s="3" customFormat="1" ht="25.4" hidden="1" customHeight="1">
      <c r="A50" s="3" t="s">
        <v>536</v>
      </c>
      <c r="B50" s="3" t="s">
        <v>600</v>
      </c>
      <c r="D50" s="26" t="s">
        <v>1275</v>
      </c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">
        <f t="shared" si="2"/>
        <v>0</v>
      </c>
      <c r="R50" s="3">
        <v>10710.05</v>
      </c>
      <c r="S50" s="3">
        <v>0</v>
      </c>
      <c r="T50" s="35"/>
      <c r="U50" s="40">
        <f t="shared" si="3"/>
        <v>0</v>
      </c>
    </row>
    <row r="51" spans="1:21" s="3" customFormat="1" ht="25.4" hidden="1" customHeight="1">
      <c r="A51" s="3" t="s">
        <v>538</v>
      </c>
      <c r="B51" s="3" t="s">
        <v>600</v>
      </c>
      <c r="D51" s="26" t="s">
        <v>1276</v>
      </c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">
        <f t="shared" si="2"/>
        <v>0</v>
      </c>
      <c r="R51" s="3">
        <v>0</v>
      </c>
      <c r="S51" s="3">
        <v>0</v>
      </c>
      <c r="T51" s="35"/>
      <c r="U51" s="40">
        <f t="shared" si="3"/>
        <v>0</v>
      </c>
    </row>
    <row r="52" spans="1:21" s="3" customFormat="1" ht="25.4" hidden="1" customHeight="1">
      <c r="A52" s="3" t="s">
        <v>540</v>
      </c>
      <c r="B52" s="3" t="s">
        <v>600</v>
      </c>
      <c r="D52" s="26" t="s">
        <v>1277</v>
      </c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">
        <f t="shared" si="2"/>
        <v>0</v>
      </c>
      <c r="R52" s="3">
        <v>0</v>
      </c>
      <c r="S52" s="3">
        <v>0</v>
      </c>
      <c r="T52" s="35"/>
      <c r="U52" s="40">
        <f t="shared" si="3"/>
        <v>0</v>
      </c>
    </row>
    <row r="53" spans="1:21" s="3" customFormat="1" ht="25.4" hidden="1" customHeight="1">
      <c r="A53" s="3" t="s">
        <v>542</v>
      </c>
      <c r="B53" s="3" t="s">
        <v>600</v>
      </c>
      <c r="D53" s="29" t="s">
        <v>1278</v>
      </c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">
        <f t="shared" si="2"/>
        <v>0</v>
      </c>
      <c r="R53" s="3">
        <v>0</v>
      </c>
      <c r="S53" s="3">
        <v>0</v>
      </c>
      <c r="T53" s="35"/>
      <c r="U53" s="40">
        <f t="shared" si="3"/>
        <v>0</v>
      </c>
    </row>
    <row r="54" spans="1:21" s="3" customFormat="1" ht="25.4" hidden="1" customHeight="1">
      <c r="A54" s="3" t="s">
        <v>544</v>
      </c>
      <c r="B54" s="3" t="s">
        <v>600</v>
      </c>
      <c r="D54" s="26" t="s">
        <v>1279</v>
      </c>
      <c r="E54" s="387"/>
      <c r="F54" s="387"/>
      <c r="G54" s="387"/>
      <c r="H54" s="387"/>
      <c r="I54" s="387"/>
      <c r="J54" s="387"/>
      <c r="K54" s="387"/>
      <c r="L54" s="387"/>
      <c r="M54" s="387"/>
      <c r="N54" s="387"/>
      <c r="O54" s="387"/>
      <c r="P54" s="387"/>
      <c r="Q54" s="3">
        <f t="shared" si="2"/>
        <v>0</v>
      </c>
      <c r="R54" s="3">
        <v>0</v>
      </c>
      <c r="S54" s="3">
        <v>0</v>
      </c>
      <c r="T54" s="35"/>
      <c r="U54" s="40">
        <f t="shared" si="3"/>
        <v>0</v>
      </c>
    </row>
    <row r="55" spans="1:21" s="3" customFormat="1" ht="25.4" hidden="1" customHeight="1">
      <c r="A55" s="3" t="s">
        <v>546</v>
      </c>
      <c r="B55" s="3" t="s">
        <v>600</v>
      </c>
      <c r="D55" s="29" t="s">
        <v>1280</v>
      </c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  <c r="Q55" s="3">
        <f t="shared" si="2"/>
        <v>0</v>
      </c>
      <c r="R55" s="3">
        <v>20.6</v>
      </c>
      <c r="S55" s="3">
        <v>0</v>
      </c>
      <c r="T55" s="35"/>
      <c r="U55" s="40">
        <f t="shared" si="3"/>
        <v>0</v>
      </c>
    </row>
    <row r="56" spans="1:21" s="3" customFormat="1" ht="25.4" hidden="1" customHeight="1">
      <c r="A56" s="3" t="s">
        <v>548</v>
      </c>
      <c r="B56" s="3" t="s">
        <v>600</v>
      </c>
      <c r="D56" s="26" t="s">
        <v>1227</v>
      </c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">
        <f t="shared" si="2"/>
        <v>0</v>
      </c>
      <c r="R56" s="3">
        <v>0</v>
      </c>
      <c r="S56" s="3">
        <v>0</v>
      </c>
      <c r="T56" s="35"/>
      <c r="U56" s="40">
        <f t="shared" si="3"/>
        <v>0</v>
      </c>
    </row>
    <row r="57" spans="1:21" s="3" customFormat="1" ht="25.4" hidden="1" customHeight="1">
      <c r="A57" s="3" t="s">
        <v>550</v>
      </c>
      <c r="B57" s="3" t="s">
        <v>600</v>
      </c>
      <c r="D57" s="26" t="s">
        <v>1281</v>
      </c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3">
        <f t="shared" si="2"/>
        <v>0</v>
      </c>
      <c r="R57" s="3">
        <v>0</v>
      </c>
      <c r="S57" s="3">
        <v>0</v>
      </c>
      <c r="T57" s="35"/>
      <c r="U57" s="40">
        <f t="shared" si="3"/>
        <v>0</v>
      </c>
    </row>
    <row r="58" spans="1:21" s="3" customFormat="1" ht="25.4" hidden="1" customHeight="1">
      <c r="A58" s="3" t="s">
        <v>552</v>
      </c>
      <c r="B58" s="3" t="s">
        <v>600</v>
      </c>
      <c r="D58" s="26" t="s">
        <v>1282</v>
      </c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">
        <f t="shared" si="2"/>
        <v>0</v>
      </c>
      <c r="R58" s="3">
        <v>0</v>
      </c>
      <c r="S58" s="3">
        <v>0</v>
      </c>
      <c r="T58" s="35"/>
      <c r="U58" s="40">
        <f t="shared" si="3"/>
        <v>0</v>
      </c>
    </row>
    <row r="59" spans="1:21" s="3" customFormat="1" ht="25.4" hidden="1" customHeight="1">
      <c r="A59" s="3" t="s">
        <v>554</v>
      </c>
      <c r="B59" s="3" t="s">
        <v>600</v>
      </c>
      <c r="D59" s="26" t="s">
        <v>1283</v>
      </c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">
        <f t="shared" si="2"/>
        <v>0</v>
      </c>
      <c r="R59" s="3">
        <v>0</v>
      </c>
      <c r="S59" s="3">
        <v>0</v>
      </c>
      <c r="T59" s="35"/>
      <c r="U59" s="40">
        <f t="shared" si="3"/>
        <v>0</v>
      </c>
    </row>
    <row r="60" spans="1:21" s="3" customFormat="1" ht="25.4" hidden="1" customHeight="1">
      <c r="A60" s="3" t="s">
        <v>556</v>
      </c>
      <c r="B60" s="3" t="s">
        <v>600</v>
      </c>
      <c r="D60" s="26" t="s">
        <v>1284</v>
      </c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">
        <f t="shared" si="2"/>
        <v>0</v>
      </c>
      <c r="R60" s="3">
        <v>0</v>
      </c>
      <c r="S60" s="3">
        <v>0</v>
      </c>
      <c r="T60" s="35"/>
      <c r="U60" s="40">
        <f t="shared" si="3"/>
        <v>0</v>
      </c>
    </row>
    <row r="61" spans="1:21" s="3" customFormat="1" ht="25.4" hidden="1" customHeight="1">
      <c r="A61" s="3" t="s">
        <v>558</v>
      </c>
      <c r="B61" s="3" t="s">
        <v>600</v>
      </c>
      <c r="D61" s="26" t="s">
        <v>1285</v>
      </c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  <c r="Q61" s="3">
        <f t="shared" si="2"/>
        <v>0</v>
      </c>
      <c r="R61" s="3">
        <v>0</v>
      </c>
      <c r="S61" s="3">
        <v>0</v>
      </c>
      <c r="T61" s="35"/>
      <c r="U61" s="40">
        <f t="shared" si="3"/>
        <v>0</v>
      </c>
    </row>
    <row r="62" spans="1:21" s="3" customFormat="1" ht="25.4" hidden="1" customHeight="1">
      <c r="A62" s="3" t="s">
        <v>422</v>
      </c>
      <c r="B62" s="3" t="s">
        <v>600</v>
      </c>
      <c r="D62" s="26" t="s">
        <v>423</v>
      </c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7"/>
      <c r="P62" s="387"/>
      <c r="Q62" s="3">
        <f t="shared" si="2"/>
        <v>0</v>
      </c>
      <c r="T62" s="35"/>
      <c r="U62" s="40">
        <f t="shared" si="3"/>
        <v>0</v>
      </c>
    </row>
    <row r="63" spans="1:21" s="3" customFormat="1" ht="25.4" hidden="1" customHeight="1">
      <c r="A63" s="3" t="s">
        <v>560</v>
      </c>
      <c r="B63" s="3" t="s">
        <v>600</v>
      </c>
      <c r="D63" s="26" t="s">
        <v>1286</v>
      </c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7"/>
      <c r="P63" s="387"/>
      <c r="Q63" s="3">
        <f t="shared" si="2"/>
        <v>0</v>
      </c>
      <c r="R63" s="3">
        <v>0</v>
      </c>
      <c r="S63" s="3">
        <v>0</v>
      </c>
      <c r="T63" s="35"/>
      <c r="U63" s="40">
        <f t="shared" si="3"/>
        <v>0</v>
      </c>
    </row>
    <row r="64" spans="1:21" s="3" customFormat="1" ht="25.4" hidden="1" customHeight="1">
      <c r="A64" s="3" t="s">
        <v>562</v>
      </c>
      <c r="B64" s="3" t="s">
        <v>600</v>
      </c>
      <c r="D64" s="26" t="s">
        <v>1287</v>
      </c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  <c r="Q64" s="3">
        <f t="shared" si="2"/>
        <v>0</v>
      </c>
      <c r="R64" s="3">
        <v>0</v>
      </c>
      <c r="S64" s="3">
        <v>0</v>
      </c>
      <c r="T64" s="35"/>
      <c r="U64" s="40">
        <f t="shared" si="3"/>
        <v>0</v>
      </c>
    </row>
    <row r="65" spans="1:21" s="3" customFormat="1" ht="25.4" hidden="1" customHeight="1">
      <c r="A65" s="3" t="s">
        <v>564</v>
      </c>
      <c r="B65" s="3" t="s">
        <v>600</v>
      </c>
      <c r="D65" s="26" t="s">
        <v>1288</v>
      </c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7"/>
      <c r="P65" s="387"/>
      <c r="Q65" s="3">
        <f t="shared" si="2"/>
        <v>0</v>
      </c>
      <c r="R65" s="3">
        <v>0</v>
      </c>
      <c r="S65" s="3">
        <v>0</v>
      </c>
      <c r="T65" s="35"/>
      <c r="U65" s="40">
        <f t="shared" si="3"/>
        <v>0</v>
      </c>
    </row>
    <row r="66" spans="1:21" s="3" customFormat="1" ht="25.4" customHeight="1">
      <c r="A66" s="3" t="s">
        <v>566</v>
      </c>
      <c r="B66" s="3" t="s">
        <v>600</v>
      </c>
      <c r="D66" s="26" t="s">
        <v>1289</v>
      </c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  <c r="Q66" s="3">
        <f t="shared" si="2"/>
        <v>0</v>
      </c>
      <c r="R66" s="3">
        <v>0</v>
      </c>
      <c r="S66" s="3">
        <v>0</v>
      </c>
      <c r="T66" s="35"/>
      <c r="U66" s="40">
        <f t="shared" si="3"/>
        <v>0</v>
      </c>
    </row>
    <row r="67" spans="1:21" s="3" customFormat="1" ht="25.4" customHeight="1">
      <c r="A67" s="3" t="s">
        <v>568</v>
      </c>
      <c r="B67" s="3" t="s">
        <v>600</v>
      </c>
      <c r="D67" s="26" t="s">
        <v>1290</v>
      </c>
      <c r="E67" s="387"/>
      <c r="F67" s="387"/>
      <c r="G67" s="387"/>
      <c r="H67" s="387"/>
      <c r="I67" s="387"/>
      <c r="J67" s="387"/>
      <c r="K67" s="387"/>
      <c r="L67" s="387"/>
      <c r="M67" s="387"/>
      <c r="N67" s="387"/>
      <c r="O67" s="387"/>
      <c r="P67" s="387"/>
      <c r="Q67" s="3">
        <f t="shared" si="2"/>
        <v>0</v>
      </c>
      <c r="R67" s="3">
        <v>0</v>
      </c>
      <c r="S67" s="3">
        <v>0</v>
      </c>
      <c r="T67" s="35"/>
      <c r="U67" s="40">
        <f t="shared" si="3"/>
        <v>0</v>
      </c>
    </row>
    <row r="68" spans="1:21" s="3" customFormat="1" ht="25.4" customHeight="1">
      <c r="A68" s="3" t="s">
        <v>570</v>
      </c>
      <c r="B68" s="3" t="s">
        <v>600</v>
      </c>
      <c r="D68" s="26" t="s">
        <v>1291</v>
      </c>
      <c r="E68" s="387"/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  <c r="Q68" s="3">
        <f t="shared" si="2"/>
        <v>0</v>
      </c>
      <c r="R68" s="3">
        <v>0</v>
      </c>
      <c r="S68" s="3">
        <v>0</v>
      </c>
      <c r="T68" s="35"/>
      <c r="U68" s="40">
        <f t="shared" si="3"/>
        <v>0</v>
      </c>
    </row>
    <row r="69" spans="1:21" s="3" customFormat="1" ht="25.4" customHeight="1">
      <c r="A69" s="3" t="s">
        <v>572</v>
      </c>
      <c r="B69" s="3" t="s">
        <v>600</v>
      </c>
      <c r="D69" s="26" t="s">
        <v>1292</v>
      </c>
      <c r="E69" s="387"/>
      <c r="F69" s="387"/>
      <c r="G69" s="387"/>
      <c r="H69" s="387"/>
      <c r="I69" s="387"/>
      <c r="J69" s="387"/>
      <c r="K69" s="387"/>
      <c r="L69" s="387"/>
      <c r="M69" s="387"/>
      <c r="N69" s="387"/>
      <c r="O69" s="387"/>
      <c r="P69" s="387"/>
      <c r="Q69" s="3">
        <f t="shared" si="2"/>
        <v>0</v>
      </c>
      <c r="R69" s="3">
        <v>4626.67</v>
      </c>
      <c r="S69" s="3">
        <v>0</v>
      </c>
      <c r="T69" s="35"/>
      <c r="U69" s="40">
        <f t="shared" si="3"/>
        <v>0</v>
      </c>
    </row>
    <row r="70" spans="1:21" s="3" customFormat="1" ht="25.4" customHeight="1">
      <c r="A70" s="3" t="s">
        <v>574</v>
      </c>
      <c r="B70" s="3" t="s">
        <v>600</v>
      </c>
      <c r="D70" s="26" t="s">
        <v>1233</v>
      </c>
      <c r="E70" s="387">
        <v>100</v>
      </c>
      <c r="F70" s="387">
        <v>100</v>
      </c>
      <c r="G70" s="387">
        <v>100</v>
      </c>
      <c r="H70" s="387">
        <v>100</v>
      </c>
      <c r="I70" s="387">
        <v>100</v>
      </c>
      <c r="J70" s="387">
        <v>100</v>
      </c>
      <c r="K70" s="387">
        <v>100</v>
      </c>
      <c r="L70" s="387">
        <v>100</v>
      </c>
      <c r="M70" s="387">
        <v>100</v>
      </c>
      <c r="N70" s="387">
        <v>100</v>
      </c>
      <c r="O70" s="387">
        <v>100</v>
      </c>
      <c r="P70" s="387">
        <v>100</v>
      </c>
      <c r="Q70" s="3">
        <f t="shared" si="2"/>
        <v>1200</v>
      </c>
      <c r="R70" s="3">
        <v>118770.64</v>
      </c>
      <c r="S70" s="3">
        <v>3.0042058882435409E-2</v>
      </c>
      <c r="T70" s="35"/>
      <c r="U70" s="40" t="e">
        <f t="shared" si="3"/>
        <v>#DIV/0!</v>
      </c>
    </row>
    <row r="71" spans="1:21" s="306" customFormat="1" ht="25.4" customHeight="1">
      <c r="A71" s="306" t="s">
        <v>576</v>
      </c>
      <c r="B71" s="306" t="s">
        <v>600</v>
      </c>
      <c r="D71" s="26" t="s">
        <v>1234</v>
      </c>
      <c r="E71" s="387">
        <v>4969.05</v>
      </c>
      <c r="F71" s="387">
        <v>4112.51</v>
      </c>
      <c r="G71" s="387">
        <v>4507.37</v>
      </c>
      <c r="H71" s="387">
        <v>4878.4500000000007</v>
      </c>
      <c r="I71" s="387">
        <v>4804.2</v>
      </c>
      <c r="J71" s="387">
        <v>4191.79</v>
      </c>
      <c r="K71" s="387">
        <v>4073.96</v>
      </c>
      <c r="L71" s="387">
        <v>4088.36</v>
      </c>
      <c r="M71" s="387">
        <v>4172.2700000000004</v>
      </c>
      <c r="N71" s="387">
        <v>4763.7999999999993</v>
      </c>
      <c r="O71" s="387">
        <v>4269.5</v>
      </c>
      <c r="P71" s="387">
        <v>4225.63</v>
      </c>
      <c r="Q71" s="3">
        <f t="shared" si="2"/>
        <v>53056.890000000007</v>
      </c>
      <c r="R71" s="3">
        <v>31732.28</v>
      </c>
      <c r="S71" s="3">
        <v>1.1554769176847586</v>
      </c>
      <c r="T71" s="307"/>
      <c r="U71" s="308" t="e">
        <f t="shared" si="3"/>
        <v>#DIV/0!</v>
      </c>
    </row>
    <row r="72" spans="1:21" s="3" customFormat="1" ht="25.4" customHeight="1">
      <c r="A72" s="3" t="s">
        <v>578</v>
      </c>
      <c r="B72" s="3" t="s">
        <v>600</v>
      </c>
      <c r="D72" s="26" t="s">
        <v>1235</v>
      </c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7"/>
      <c r="P72" s="387"/>
      <c r="Q72" s="3">
        <f t="shared" si="2"/>
        <v>0</v>
      </c>
      <c r="R72" s="3">
        <v>38048.019999999997</v>
      </c>
      <c r="S72" s="3">
        <v>0</v>
      </c>
      <c r="T72" s="35"/>
      <c r="U72" s="40">
        <f t="shared" si="3"/>
        <v>0</v>
      </c>
    </row>
    <row r="73" spans="1:21" s="3" customFormat="1" ht="25.4" customHeight="1">
      <c r="A73" s="3" t="s">
        <v>580</v>
      </c>
      <c r="B73" s="3" t="s">
        <v>600</v>
      </c>
      <c r="D73" s="26" t="s">
        <v>1236</v>
      </c>
      <c r="E73" s="387">
        <v>100</v>
      </c>
      <c r="F73" s="387">
        <v>100</v>
      </c>
      <c r="G73" s="387">
        <v>100</v>
      </c>
      <c r="H73" s="387">
        <v>100</v>
      </c>
      <c r="I73" s="387">
        <v>100</v>
      </c>
      <c r="J73" s="387">
        <v>100</v>
      </c>
      <c r="K73" s="387">
        <v>100</v>
      </c>
      <c r="L73" s="387">
        <v>100</v>
      </c>
      <c r="M73" s="387">
        <v>100</v>
      </c>
      <c r="N73" s="387">
        <v>100</v>
      </c>
      <c r="O73" s="387">
        <v>100</v>
      </c>
      <c r="P73" s="387">
        <v>100</v>
      </c>
      <c r="Q73" s="3">
        <f t="shared" si="2"/>
        <v>1200</v>
      </c>
      <c r="R73" s="3">
        <v>67396.899999999994</v>
      </c>
      <c r="S73" s="3">
        <v>3.0042058882435409E-2</v>
      </c>
      <c r="T73" s="35"/>
      <c r="U73" s="40" t="e">
        <f t="shared" si="3"/>
        <v>#DIV/0!</v>
      </c>
    </row>
    <row r="74" spans="1:21" s="3" customFormat="1" ht="25.4" customHeight="1">
      <c r="A74" s="3" t="s">
        <v>582</v>
      </c>
      <c r="B74" s="3" t="s">
        <v>600</v>
      </c>
      <c r="D74" s="26" t="s">
        <v>1293</v>
      </c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387"/>
      <c r="P74" s="387"/>
      <c r="Q74" s="3">
        <f t="shared" si="2"/>
        <v>0</v>
      </c>
      <c r="R74" s="3">
        <v>0</v>
      </c>
      <c r="S74" s="3">
        <v>0</v>
      </c>
      <c r="T74" s="35"/>
      <c r="U74" s="40">
        <f t="shared" si="3"/>
        <v>0</v>
      </c>
    </row>
    <row r="75" spans="1:21" s="3" customFormat="1" ht="25.4" customHeight="1">
      <c r="A75" s="3" t="s">
        <v>584</v>
      </c>
      <c r="B75" s="3" t="s">
        <v>600</v>
      </c>
      <c r="D75" s="26" t="s">
        <v>1294</v>
      </c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387"/>
      <c r="P75" s="387"/>
      <c r="Q75" s="3">
        <f t="shared" si="2"/>
        <v>0</v>
      </c>
      <c r="R75" s="3">
        <v>199955.88</v>
      </c>
      <c r="S75" s="3">
        <v>0</v>
      </c>
      <c r="T75" s="35"/>
      <c r="U75" s="40">
        <f t="shared" si="3"/>
        <v>0</v>
      </c>
    </row>
    <row r="76" spans="1:21" s="3" customFormat="1" ht="25.4" customHeight="1">
      <c r="A76" s="3" t="s">
        <v>586</v>
      </c>
      <c r="B76" s="3" t="s">
        <v>600</v>
      </c>
      <c r="D76" s="26" t="s">
        <v>1210</v>
      </c>
      <c r="E76" s="387"/>
      <c r="F76" s="387"/>
      <c r="G76" s="387"/>
      <c r="H76" s="387"/>
      <c r="I76" s="387"/>
      <c r="J76" s="387"/>
      <c r="K76" s="387"/>
      <c r="L76" s="387"/>
      <c r="M76" s="387"/>
      <c r="N76" s="387"/>
      <c r="O76" s="387"/>
      <c r="P76" s="387"/>
      <c r="Q76" s="3">
        <f t="shared" si="2"/>
        <v>0</v>
      </c>
      <c r="R76" s="3">
        <v>60789.32</v>
      </c>
      <c r="S76" s="3">
        <v>0</v>
      </c>
      <c r="T76" s="35"/>
      <c r="U76" s="40">
        <f t="shared" si="3"/>
        <v>0</v>
      </c>
    </row>
    <row r="77" spans="1:21" s="3" customFormat="1" ht="25.4" customHeight="1">
      <c r="A77" s="3" t="s">
        <v>588</v>
      </c>
      <c r="B77" s="3" t="s">
        <v>600</v>
      </c>
      <c r="D77" s="26" t="s">
        <v>1295</v>
      </c>
      <c r="E77" s="387"/>
      <c r="F77" s="387"/>
      <c r="G77" s="387"/>
      <c r="H77" s="387"/>
      <c r="I77" s="387"/>
      <c r="J77" s="387"/>
      <c r="K77" s="387"/>
      <c r="L77" s="387"/>
      <c r="M77" s="387"/>
      <c r="N77" s="387"/>
      <c r="O77" s="387"/>
      <c r="P77" s="387"/>
      <c r="Q77" s="3">
        <f t="shared" si="2"/>
        <v>0</v>
      </c>
      <c r="R77" s="3">
        <v>0</v>
      </c>
      <c r="S77" s="3">
        <v>0</v>
      </c>
      <c r="T77" s="35"/>
      <c r="U77" s="40">
        <f t="shared" si="3"/>
        <v>0</v>
      </c>
    </row>
    <row r="78" spans="1:21" s="3" customFormat="1" ht="25.4" customHeight="1">
      <c r="A78" s="3" t="s">
        <v>590</v>
      </c>
      <c r="B78" s="3" t="s">
        <v>600</v>
      </c>
      <c r="D78" s="26" t="s">
        <v>1296</v>
      </c>
      <c r="E78" s="387"/>
      <c r="F78" s="387"/>
      <c r="G78" s="387"/>
      <c r="H78" s="387"/>
      <c r="I78" s="387"/>
      <c r="J78" s="387"/>
      <c r="K78" s="387"/>
      <c r="L78" s="387"/>
      <c r="M78" s="387"/>
      <c r="N78" s="387"/>
      <c r="O78" s="387"/>
      <c r="P78" s="387"/>
      <c r="Q78" s="3">
        <f t="shared" si="2"/>
        <v>0</v>
      </c>
      <c r="R78" s="3">
        <v>0</v>
      </c>
      <c r="S78" s="3">
        <v>0</v>
      </c>
      <c r="T78" s="35"/>
      <c r="U78" s="40">
        <f t="shared" si="3"/>
        <v>0</v>
      </c>
    </row>
    <row r="79" spans="1:21" s="3" customFormat="1" ht="25.4" customHeight="1">
      <c r="A79" s="3" t="s">
        <v>592</v>
      </c>
      <c r="B79" s="3" t="s">
        <v>600</v>
      </c>
      <c r="D79" s="26" t="s">
        <v>1297</v>
      </c>
      <c r="E79" s="387"/>
      <c r="F79" s="387"/>
      <c r="G79" s="387"/>
      <c r="H79" s="387"/>
      <c r="I79" s="387"/>
      <c r="J79" s="387"/>
      <c r="K79" s="387"/>
      <c r="L79" s="387"/>
      <c r="M79" s="387"/>
      <c r="N79" s="387"/>
      <c r="O79" s="387"/>
      <c r="P79" s="387"/>
      <c r="Q79" s="3">
        <f t="shared" si="2"/>
        <v>0</v>
      </c>
      <c r="R79" s="3">
        <v>0</v>
      </c>
      <c r="S79" s="3">
        <v>0</v>
      </c>
      <c r="T79" s="35"/>
      <c r="U79" s="40">
        <f t="shared" si="3"/>
        <v>0</v>
      </c>
    </row>
    <row r="80" spans="1:21" s="3" customFormat="1" ht="25.4" customHeight="1">
      <c r="A80" s="3" t="s">
        <v>270</v>
      </c>
      <c r="B80" s="3" t="s">
        <v>600</v>
      </c>
      <c r="D80" s="26" t="s">
        <v>1298</v>
      </c>
      <c r="E80" s="387"/>
      <c r="F80" s="387"/>
      <c r="G80" s="387"/>
      <c r="H80" s="387"/>
      <c r="I80" s="387"/>
      <c r="J80" s="387"/>
      <c r="K80" s="387"/>
      <c r="L80" s="387"/>
      <c r="M80" s="387"/>
      <c r="N80" s="387"/>
      <c r="O80" s="387"/>
      <c r="P80" s="387"/>
      <c r="Q80" s="3">
        <f t="shared" ref="Q80:Q82" si="5">SUM(E80:P80)</f>
        <v>0</v>
      </c>
      <c r="R80" s="3">
        <v>0</v>
      </c>
      <c r="S80" s="3">
        <v>0</v>
      </c>
      <c r="T80" s="35"/>
      <c r="U80" s="40">
        <f t="shared" si="3"/>
        <v>0</v>
      </c>
    </row>
    <row r="81" spans="1:21" s="3" customFormat="1" ht="25.4" customHeight="1">
      <c r="A81" s="3" t="s">
        <v>272</v>
      </c>
      <c r="B81" s="3" t="s">
        <v>600</v>
      </c>
      <c r="D81" s="26" t="s">
        <v>273</v>
      </c>
      <c r="E81" s="387"/>
      <c r="F81" s="387"/>
      <c r="G81" s="387"/>
      <c r="H81" s="387"/>
      <c r="I81" s="387"/>
      <c r="J81" s="387"/>
      <c r="K81" s="387"/>
      <c r="L81" s="387"/>
      <c r="M81" s="387"/>
      <c r="N81" s="387"/>
      <c r="O81" s="387"/>
      <c r="P81" s="387"/>
      <c r="Q81" s="3">
        <f t="shared" si="5"/>
        <v>0</v>
      </c>
      <c r="R81" s="3">
        <v>0</v>
      </c>
      <c r="S81" s="3">
        <v>0</v>
      </c>
      <c r="T81" s="35"/>
      <c r="U81" s="40">
        <f t="shared" si="3"/>
        <v>0</v>
      </c>
    </row>
    <row r="82" spans="1:21" s="3" customFormat="1" ht="25.4" customHeight="1">
      <c r="A82" s="3" t="s">
        <v>595</v>
      </c>
      <c r="B82" s="3" t="s">
        <v>600</v>
      </c>
      <c r="D82" s="26" t="s">
        <v>1299</v>
      </c>
      <c r="E82" s="387">
        <v>7000</v>
      </c>
      <c r="F82" s="387">
        <v>7000</v>
      </c>
      <c r="G82" s="387">
        <v>7000</v>
      </c>
      <c r="H82" s="387">
        <v>7000</v>
      </c>
      <c r="I82" s="387">
        <v>7000</v>
      </c>
      <c r="J82" s="387">
        <v>7000</v>
      </c>
      <c r="K82" s="387">
        <v>7000</v>
      </c>
      <c r="L82" s="387">
        <v>7000</v>
      </c>
      <c r="M82" s="387">
        <v>7000</v>
      </c>
      <c r="N82" s="387">
        <v>7000</v>
      </c>
      <c r="O82" s="387">
        <v>7000</v>
      </c>
      <c r="P82" s="387">
        <v>7000</v>
      </c>
      <c r="Q82" s="3">
        <f t="shared" si="5"/>
        <v>84000</v>
      </c>
      <c r="R82" s="3">
        <v>1206413.77</v>
      </c>
      <c r="S82" s="3">
        <v>2.1029441217704785</v>
      </c>
      <c r="T82" s="35"/>
      <c r="U82" s="40" t="e">
        <f t="shared" si="3"/>
        <v>#DIV/0!</v>
      </c>
    </row>
    <row r="83" spans="1:21" s="19" customFormat="1" ht="25.4" customHeight="1">
      <c r="D83" s="21" t="s">
        <v>1300</v>
      </c>
      <c r="E83" s="45">
        <f>SUM(E15:E82)</f>
        <v>36873.050000000003</v>
      </c>
      <c r="F83" s="45">
        <f t="shared" ref="F83:Q83" si="6">SUM(F15:F82)</f>
        <v>36004.51</v>
      </c>
      <c r="G83" s="45">
        <f t="shared" si="6"/>
        <v>36423.369999999995</v>
      </c>
      <c r="H83" s="45">
        <f t="shared" si="6"/>
        <v>36806.449999999997</v>
      </c>
      <c r="I83" s="45">
        <f t="shared" si="6"/>
        <v>36732.199999999997</v>
      </c>
      <c r="J83" s="45">
        <f t="shared" si="6"/>
        <v>36107.79</v>
      </c>
      <c r="K83" s="45">
        <f t="shared" si="6"/>
        <v>35989.96</v>
      </c>
      <c r="L83" s="45">
        <f t="shared" si="6"/>
        <v>36004.36</v>
      </c>
      <c r="M83" s="45">
        <f t="shared" si="6"/>
        <v>36088.270000000004</v>
      </c>
      <c r="N83" s="45">
        <f t="shared" si="6"/>
        <v>36691.800000000003</v>
      </c>
      <c r="O83" s="45">
        <f t="shared" si="6"/>
        <v>36197.5</v>
      </c>
      <c r="P83" s="45">
        <f t="shared" si="6"/>
        <v>36153.630000000005</v>
      </c>
      <c r="Q83" s="45">
        <f t="shared" si="6"/>
        <v>436072.89</v>
      </c>
      <c r="R83" s="45">
        <v>3775081.91</v>
      </c>
      <c r="S83" s="3">
        <v>8.4923485379531343</v>
      </c>
      <c r="T83" s="35"/>
      <c r="U83" s="40" t="e">
        <f t="shared" si="3"/>
        <v>#DIV/0!</v>
      </c>
    </row>
    <row r="84" spans="1:21" s="19" customFormat="1" ht="25.4" customHeight="1">
      <c r="D84" s="21" t="s">
        <v>1301</v>
      </c>
      <c r="E84" s="45">
        <f>+E12+E83</f>
        <v>164072.89000000001</v>
      </c>
      <c r="F84" s="45">
        <f t="shared" ref="F84:Q84" si="7">+F12+F83</f>
        <v>152361.57</v>
      </c>
      <c r="G84" s="45">
        <f t="shared" si="7"/>
        <v>167523.06</v>
      </c>
      <c r="H84" s="45">
        <f t="shared" si="7"/>
        <v>175526.69</v>
      </c>
      <c r="I84" s="45">
        <f t="shared" si="7"/>
        <v>175896.77999999997</v>
      </c>
      <c r="J84" s="45">
        <f t="shared" si="7"/>
        <v>166536.54</v>
      </c>
      <c r="K84" s="45">
        <f t="shared" si="7"/>
        <v>166250.28999999998</v>
      </c>
      <c r="L84" s="45">
        <f t="shared" si="7"/>
        <v>166296.94</v>
      </c>
      <c r="M84" s="45">
        <f t="shared" si="7"/>
        <v>166442.85999999999</v>
      </c>
      <c r="N84" s="45">
        <f t="shared" si="7"/>
        <v>174348.33999999997</v>
      </c>
      <c r="O84" s="45">
        <f t="shared" si="7"/>
        <v>169232.55</v>
      </c>
      <c r="P84" s="45">
        <f t="shared" si="7"/>
        <v>169524.07</v>
      </c>
      <c r="Q84" s="45">
        <f t="shared" si="7"/>
        <v>2014012.58</v>
      </c>
      <c r="R84" s="45">
        <v>12763695.470000001</v>
      </c>
      <c r="S84" s="3">
        <v>47.3622068395754</v>
      </c>
      <c r="T84" s="35"/>
      <c r="U84" s="40" t="e">
        <f t="shared" si="3"/>
        <v>#DIV/0!</v>
      </c>
    </row>
    <row r="85" spans="1:21" s="3" customFormat="1" ht="25.4" customHeight="1">
      <c r="A85" s="77" t="s">
        <v>599</v>
      </c>
      <c r="B85" s="3" t="s">
        <v>600</v>
      </c>
      <c r="D85" s="42" t="s">
        <v>353</v>
      </c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3">
        <f>+Q84</f>
        <v>2014012.58</v>
      </c>
      <c r="R85" s="3">
        <v>12763695.470000001</v>
      </c>
      <c r="T85" s="35"/>
      <c r="U85" s="40" t="e">
        <f t="shared" si="3"/>
        <v>#DIV/0!</v>
      </c>
    </row>
    <row r="86" spans="1:21" s="3" customFormat="1" ht="25.4" customHeight="1">
      <c r="A86" s="77" t="s">
        <v>455</v>
      </c>
      <c r="B86" s="3" t="s">
        <v>600</v>
      </c>
      <c r="D86" s="42" t="s">
        <v>601</v>
      </c>
      <c r="E86" s="27">
        <f>-E84</f>
        <v>-164072.89000000001</v>
      </c>
      <c r="F86" s="27">
        <f t="shared" ref="F86:P86" si="8">-F84</f>
        <v>-152361.57</v>
      </c>
      <c r="G86" s="27">
        <f t="shared" si="8"/>
        <v>-167523.06</v>
      </c>
      <c r="H86" s="27">
        <f t="shared" si="8"/>
        <v>-175526.69</v>
      </c>
      <c r="I86" s="27">
        <f t="shared" si="8"/>
        <v>-175896.77999999997</v>
      </c>
      <c r="J86" s="27">
        <f t="shared" si="8"/>
        <v>-166536.54</v>
      </c>
      <c r="K86" s="27">
        <f t="shared" si="8"/>
        <v>-166250.28999999998</v>
      </c>
      <c r="L86" s="27">
        <f t="shared" si="8"/>
        <v>-166296.94</v>
      </c>
      <c r="M86" s="27">
        <f t="shared" si="8"/>
        <v>-166442.85999999999</v>
      </c>
      <c r="N86" s="27">
        <f t="shared" si="8"/>
        <v>-174348.33999999997</v>
      </c>
      <c r="O86" s="27">
        <f t="shared" si="8"/>
        <v>-169232.55</v>
      </c>
      <c r="P86" s="27">
        <f t="shared" si="8"/>
        <v>-169524.07</v>
      </c>
      <c r="Q86" s="3">
        <f>SUM(E86:P86)</f>
        <v>-2014012.58</v>
      </c>
      <c r="T86" s="35"/>
      <c r="U86" s="40" t="e">
        <f t="shared" si="3"/>
        <v>#DIV/0!</v>
      </c>
    </row>
    <row r="87" spans="1:21" s="3" customFormat="1" ht="25.4" customHeight="1">
      <c r="D87" s="42"/>
      <c r="E87" s="68"/>
      <c r="F87" s="68"/>
      <c r="G87" s="68"/>
      <c r="H87" s="68"/>
      <c r="I87" s="68"/>
      <c r="T87" s="35"/>
      <c r="U87" s="40"/>
    </row>
    <row r="88" spans="1:21" s="3" customFormat="1" ht="25.4" customHeight="1">
      <c r="B88" s="51"/>
      <c r="D88" s="19" t="s">
        <v>602</v>
      </c>
      <c r="E88" s="48"/>
      <c r="F88" s="48"/>
      <c r="G88" s="48"/>
      <c r="H88" s="48"/>
      <c r="I88" s="48"/>
      <c r="T88" s="35"/>
      <c r="U88" s="40"/>
    </row>
    <row r="89" spans="1:21" s="3" customFormat="1" ht="24.65" customHeight="1">
      <c r="B89" s="51"/>
      <c r="D89" s="19" t="s">
        <v>431</v>
      </c>
      <c r="E89" s="48"/>
      <c r="F89" s="48"/>
      <c r="G89" s="48"/>
      <c r="H89" s="48"/>
      <c r="I89" s="48"/>
      <c r="T89" s="35"/>
      <c r="U89" s="40"/>
    </row>
    <row r="90" spans="1:21" s="3" customFormat="1" ht="25.4" customHeight="1">
      <c r="A90" s="253" t="s">
        <v>297</v>
      </c>
      <c r="B90" s="3" t="s">
        <v>600</v>
      </c>
      <c r="D90" s="26" t="s">
        <v>299</v>
      </c>
      <c r="E90" s="27">
        <v>10000</v>
      </c>
      <c r="F90" s="27">
        <v>10000</v>
      </c>
      <c r="G90" s="27">
        <v>10000</v>
      </c>
      <c r="H90" s="27">
        <v>10000</v>
      </c>
      <c r="I90" s="27">
        <v>10000</v>
      </c>
      <c r="J90" s="27">
        <v>10000</v>
      </c>
      <c r="K90" s="27">
        <v>10000</v>
      </c>
      <c r="L90" s="27">
        <v>10000</v>
      </c>
      <c r="M90" s="27">
        <v>10000</v>
      </c>
      <c r="N90" s="27">
        <v>10000</v>
      </c>
      <c r="O90" s="27">
        <v>10000</v>
      </c>
      <c r="P90" s="27">
        <v>10000</v>
      </c>
      <c r="Q90" s="3">
        <f>SUM(E90:P90)</f>
        <v>120000</v>
      </c>
      <c r="R90" s="3">
        <v>3618344.18</v>
      </c>
      <c r="S90" s="3">
        <v>3.0042058882435412</v>
      </c>
      <c r="T90" s="35"/>
      <c r="U90" s="40" t="e">
        <f>-IF(Q90-T90=0,0,(Q90-T90)/T90)</f>
        <v>#DIV/0!</v>
      </c>
    </row>
    <row r="91" spans="1:21" s="3" customFormat="1" ht="25.4" customHeight="1">
      <c r="A91" s="50" t="s">
        <v>300</v>
      </c>
      <c r="B91" s="3" t="s">
        <v>600</v>
      </c>
      <c r="D91" s="26" t="s">
        <v>434</v>
      </c>
      <c r="E91" s="27">
        <v>15900</v>
      </c>
      <c r="F91" s="27">
        <v>15900</v>
      </c>
      <c r="G91" s="27">
        <v>15900</v>
      </c>
      <c r="H91" s="27">
        <v>15900</v>
      </c>
      <c r="I91" s="27">
        <v>15900</v>
      </c>
      <c r="J91" s="27">
        <v>15900</v>
      </c>
      <c r="K91" s="27">
        <v>15900</v>
      </c>
      <c r="L91" s="27">
        <v>15900</v>
      </c>
      <c r="M91" s="27">
        <v>15900</v>
      </c>
      <c r="N91" s="27">
        <v>15900</v>
      </c>
      <c r="O91" s="27">
        <v>15900</v>
      </c>
      <c r="P91" s="27">
        <v>15900</v>
      </c>
      <c r="Q91" s="3">
        <f>SUM(E91:P91)</f>
        <v>190800</v>
      </c>
      <c r="R91" s="3">
        <v>1159791.6399999999</v>
      </c>
      <c r="S91" s="3">
        <v>4.7766873623072303</v>
      </c>
      <c r="T91" s="35"/>
      <c r="U91" s="40" t="e">
        <f t="shared" ref="U91:U121" si="9">-IF(Q91-T91=0,0,(Q91-T91)/T91)</f>
        <v>#DIV/0!</v>
      </c>
    </row>
    <row r="92" spans="1:21" s="3" customFormat="1" ht="25.4" customHeight="1">
      <c r="B92" s="51"/>
      <c r="D92" s="21" t="s">
        <v>437</v>
      </c>
      <c r="E92" s="52">
        <f>SUM(E90:E91)</f>
        <v>25900</v>
      </c>
      <c r="F92" s="52">
        <f t="shared" ref="F92:P92" si="10">SUM(F90:F91)</f>
        <v>25900</v>
      </c>
      <c r="G92" s="52">
        <f t="shared" si="10"/>
        <v>25900</v>
      </c>
      <c r="H92" s="52">
        <f t="shared" si="10"/>
        <v>25900</v>
      </c>
      <c r="I92" s="52">
        <f t="shared" si="10"/>
        <v>25900</v>
      </c>
      <c r="J92" s="52">
        <f t="shared" si="10"/>
        <v>25900</v>
      </c>
      <c r="K92" s="52">
        <f t="shared" si="10"/>
        <v>25900</v>
      </c>
      <c r="L92" s="52">
        <f t="shared" si="10"/>
        <v>25900</v>
      </c>
      <c r="M92" s="52">
        <f t="shared" si="10"/>
        <v>25900</v>
      </c>
      <c r="N92" s="52">
        <f t="shared" si="10"/>
        <v>25900</v>
      </c>
      <c r="O92" s="52">
        <f t="shared" si="10"/>
        <v>25900</v>
      </c>
      <c r="P92" s="52">
        <f t="shared" si="10"/>
        <v>25900</v>
      </c>
      <c r="Q92" s="52">
        <f t="shared" ref="Q92" si="11">SUM(Q90:Q91)</f>
        <v>310800</v>
      </c>
      <c r="R92" s="52">
        <v>4778135.82</v>
      </c>
      <c r="S92" s="3">
        <v>7.7808932505507711</v>
      </c>
      <c r="T92" s="35"/>
      <c r="U92" s="40" t="e">
        <f t="shared" si="9"/>
        <v>#DIV/0!</v>
      </c>
    </row>
    <row r="93" spans="1:21" s="3" customFormat="1" ht="25.4" customHeight="1">
      <c r="B93" s="51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T93" s="35"/>
      <c r="U93" s="40"/>
    </row>
    <row r="94" spans="1:21" s="3" customFormat="1" ht="25.4" customHeight="1">
      <c r="A94" s="50" t="s">
        <v>603</v>
      </c>
      <c r="B94" s="3" t="s">
        <v>600</v>
      </c>
      <c r="D94" s="26" t="s">
        <v>309</v>
      </c>
      <c r="E94" s="27">
        <v>4386.21</v>
      </c>
      <c r="F94" s="27">
        <v>0</v>
      </c>
      <c r="G94" s="27">
        <v>0</v>
      </c>
      <c r="H94" s="27">
        <v>1315.8600000000001</v>
      </c>
      <c r="I94" s="27">
        <v>2193.1000000000004</v>
      </c>
      <c r="J94" s="27">
        <v>0</v>
      </c>
      <c r="K94" s="27">
        <v>0</v>
      </c>
      <c r="L94" s="27">
        <v>0</v>
      </c>
      <c r="M94" s="27">
        <v>0</v>
      </c>
      <c r="N94" s="27">
        <v>4386.21</v>
      </c>
      <c r="O94" s="27">
        <v>0</v>
      </c>
      <c r="P94" s="27">
        <v>0</v>
      </c>
      <c r="Q94" s="3">
        <f>SUM(E94:P94)</f>
        <v>12281.380000000001</v>
      </c>
      <c r="R94" s="3">
        <v>148934.06</v>
      </c>
      <c r="S94" s="3">
        <v>0.30746495093130383</v>
      </c>
      <c r="T94" s="35"/>
      <c r="U94" s="40" t="e">
        <f t="shared" si="9"/>
        <v>#DIV/0!</v>
      </c>
    </row>
    <row r="95" spans="1:21" s="3" customFormat="1" ht="25.4" customHeight="1">
      <c r="A95" s="50" t="s">
        <v>310</v>
      </c>
      <c r="B95" s="3" t="s">
        <v>600</v>
      </c>
      <c r="D95" s="26" t="s">
        <v>311</v>
      </c>
      <c r="E95" s="27">
        <v>323.75</v>
      </c>
      <c r="F95" s="27">
        <v>323.75</v>
      </c>
      <c r="G95" s="27">
        <v>323.75</v>
      </c>
      <c r="H95" s="27">
        <v>323.75</v>
      </c>
      <c r="I95" s="27">
        <v>323.75</v>
      </c>
      <c r="J95" s="27">
        <v>323.75</v>
      </c>
      <c r="K95" s="27">
        <v>323.75</v>
      </c>
      <c r="L95" s="27">
        <v>323.75</v>
      </c>
      <c r="M95" s="27">
        <v>323.75</v>
      </c>
      <c r="N95" s="27">
        <v>323.75</v>
      </c>
      <c r="O95" s="27">
        <v>323.75</v>
      </c>
      <c r="P95" s="27">
        <v>323.75</v>
      </c>
      <c r="Q95" s="3">
        <f>SUM(E95:P95)</f>
        <v>3885</v>
      </c>
      <c r="R95" s="3">
        <v>678215.17</v>
      </c>
      <c r="S95" s="3">
        <v>0.64840676947726839</v>
      </c>
      <c r="T95" s="35"/>
      <c r="U95" s="40" t="e">
        <f t="shared" si="9"/>
        <v>#DIV/0!</v>
      </c>
    </row>
    <row r="96" spans="1:21" s="3" customFormat="1" ht="25.4" customHeight="1">
      <c r="A96" s="50" t="s">
        <v>604</v>
      </c>
      <c r="B96" s="3" t="s">
        <v>600</v>
      </c>
      <c r="D96" s="26" t="s">
        <v>313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ref="Q96:Q100" si="12">SUM(E96:P96)</f>
        <v>0</v>
      </c>
      <c r="R96" s="3">
        <v>16190</v>
      </c>
      <c r="S96" s="3">
        <v>0</v>
      </c>
      <c r="T96" s="35"/>
      <c r="U96" s="40"/>
    </row>
    <row r="97" spans="1:21" s="3" customFormat="1" ht="25.4" customHeight="1">
      <c r="A97" s="50" t="s">
        <v>605</v>
      </c>
      <c r="B97" s="3" t="s">
        <v>600</v>
      </c>
      <c r="D97" s="26" t="s">
        <v>315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12"/>
        <v>0</v>
      </c>
      <c r="R97" s="3">
        <v>33600</v>
      </c>
      <c r="S97" s="3">
        <v>0</v>
      </c>
      <c r="T97" s="35"/>
      <c r="U97" s="40">
        <f t="shared" si="9"/>
        <v>0</v>
      </c>
    </row>
    <row r="98" spans="1:21" s="3" customFormat="1" ht="25.4" customHeight="1">
      <c r="A98" s="50" t="s">
        <v>606</v>
      </c>
      <c r="B98" s="3" t="s">
        <v>600</v>
      </c>
      <c r="D98" s="26" t="s">
        <v>317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ref="Q98" si="13">SUM(E98:P98)</f>
        <v>0</v>
      </c>
      <c r="R98" s="3">
        <v>0</v>
      </c>
      <c r="S98" s="3">
        <v>0</v>
      </c>
      <c r="T98" s="35"/>
      <c r="U98" s="40">
        <f t="shared" ref="U98" si="14">-IF(Q98-T98=0,0,(Q98-T98)/T98)</f>
        <v>0</v>
      </c>
    </row>
    <row r="99" spans="1:21" s="3" customFormat="1" ht="25.4" customHeight="1">
      <c r="A99" s="50" t="s">
        <v>1066</v>
      </c>
      <c r="B99" s="3" t="s">
        <v>600</v>
      </c>
      <c r="D99" s="26" t="s">
        <v>1135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12"/>
        <v>0</v>
      </c>
      <c r="R99" s="3">
        <v>0</v>
      </c>
      <c r="S99" s="3">
        <v>0</v>
      </c>
      <c r="T99" s="35"/>
      <c r="U99" s="40">
        <f t="shared" si="9"/>
        <v>0</v>
      </c>
    </row>
    <row r="100" spans="1:21" s="3" customFormat="1" ht="25.4" customHeight="1">
      <c r="A100" s="50" t="s">
        <v>1066</v>
      </c>
      <c r="B100" s="3" t="s">
        <v>600</v>
      </c>
      <c r="D100" s="26" t="s">
        <v>1206</v>
      </c>
      <c r="E100" s="27">
        <v>82292.259999999995</v>
      </c>
      <c r="F100" s="27">
        <v>75830.73</v>
      </c>
      <c r="G100" s="27">
        <v>90713.040000000008</v>
      </c>
      <c r="H100" s="27">
        <v>97004.77</v>
      </c>
      <c r="I100" s="27">
        <v>96692.51</v>
      </c>
      <c r="J100" s="27">
        <v>90240.540000000008</v>
      </c>
      <c r="K100" s="27">
        <v>90128.84</v>
      </c>
      <c r="L100" s="27">
        <v>90153.93</v>
      </c>
      <c r="M100" s="27">
        <v>90209.66</v>
      </c>
      <c r="N100" s="27">
        <v>93105.68</v>
      </c>
      <c r="O100" s="27">
        <v>92923.64</v>
      </c>
      <c r="P100" s="27">
        <v>93276.35</v>
      </c>
      <c r="Q100" s="3">
        <f t="shared" si="12"/>
        <v>1082571.95</v>
      </c>
      <c r="R100" s="3">
        <v>0</v>
      </c>
      <c r="S100" s="3">
        <v>22.162912076907666</v>
      </c>
      <c r="T100" s="35"/>
      <c r="U100" s="40" t="e">
        <f t="shared" si="9"/>
        <v>#DIV/0!</v>
      </c>
    </row>
    <row r="101" spans="1:21" s="19" customFormat="1" ht="25.4" customHeight="1">
      <c r="A101" s="54"/>
      <c r="B101" s="51"/>
      <c r="D101" s="19" t="s">
        <v>318</v>
      </c>
      <c r="E101" s="52">
        <f t="shared" ref="E101:Q101" si="15">SUM(E94:E100)</f>
        <v>87002.22</v>
      </c>
      <c r="F101" s="52">
        <f t="shared" ref="F101:P101" si="16">SUM(F94:F100)</f>
        <v>76154.48</v>
      </c>
      <c r="G101" s="52">
        <f t="shared" si="16"/>
        <v>91036.790000000008</v>
      </c>
      <c r="H101" s="52">
        <f t="shared" si="16"/>
        <v>98644.38</v>
      </c>
      <c r="I101" s="52">
        <f t="shared" si="16"/>
        <v>99209.36</v>
      </c>
      <c r="J101" s="52">
        <f t="shared" si="16"/>
        <v>90564.290000000008</v>
      </c>
      <c r="K101" s="52">
        <f t="shared" si="16"/>
        <v>90452.59</v>
      </c>
      <c r="L101" s="52">
        <f t="shared" si="16"/>
        <v>90477.68</v>
      </c>
      <c r="M101" s="52">
        <f t="shared" si="16"/>
        <v>90533.41</v>
      </c>
      <c r="N101" s="52">
        <f t="shared" si="16"/>
        <v>97815.64</v>
      </c>
      <c r="O101" s="52">
        <f t="shared" si="16"/>
        <v>93247.39</v>
      </c>
      <c r="P101" s="52">
        <f t="shared" si="16"/>
        <v>93600.1</v>
      </c>
      <c r="Q101" s="52">
        <f t="shared" si="15"/>
        <v>1098738.3299999998</v>
      </c>
      <c r="R101" s="52">
        <v>876939.23</v>
      </c>
      <c r="S101" s="3">
        <v>23.11878379731624</v>
      </c>
      <c r="T101" s="35"/>
      <c r="U101" s="40" t="e">
        <f t="shared" si="9"/>
        <v>#DIV/0!</v>
      </c>
    </row>
    <row r="102" spans="1:21" s="3" customFormat="1" ht="25.4" customHeight="1">
      <c r="A102" s="50"/>
      <c r="D102" s="19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T102" s="35"/>
      <c r="U102" s="40"/>
    </row>
    <row r="103" spans="1:21" s="3" customFormat="1" ht="25.4" customHeight="1">
      <c r="A103" s="254" t="s">
        <v>609</v>
      </c>
      <c r="B103" s="3" t="s">
        <v>600</v>
      </c>
      <c r="D103" s="26" t="s">
        <v>320</v>
      </c>
      <c r="E103" s="27">
        <v>3966.9</v>
      </c>
      <c r="F103" s="27">
        <v>3966.9</v>
      </c>
      <c r="G103" s="27">
        <v>3966.9</v>
      </c>
      <c r="H103" s="27">
        <v>3966.9</v>
      </c>
      <c r="I103" s="27">
        <v>3966.9</v>
      </c>
      <c r="J103" s="27">
        <v>3966.9</v>
      </c>
      <c r="K103" s="27">
        <v>3966.9</v>
      </c>
      <c r="L103" s="27">
        <v>3966.9</v>
      </c>
      <c r="M103" s="27">
        <v>3966.9</v>
      </c>
      <c r="N103" s="27">
        <v>3966.9</v>
      </c>
      <c r="O103" s="27">
        <v>3966.9</v>
      </c>
      <c r="P103" s="27">
        <v>3966.9</v>
      </c>
      <c r="Q103" s="3">
        <f>SUM(E103:P103)</f>
        <v>47602.80000000001</v>
      </c>
      <c r="R103" s="3">
        <v>451796</v>
      </c>
      <c r="S103" s="3">
        <v>1.1917384338073305</v>
      </c>
      <c r="T103" s="35"/>
      <c r="U103" s="40" t="e">
        <f t="shared" si="9"/>
        <v>#DIV/0!</v>
      </c>
    </row>
    <row r="104" spans="1:21" s="3" customFormat="1" ht="25.4" customHeight="1">
      <c r="A104" s="254" t="s">
        <v>610</v>
      </c>
      <c r="B104" s="3" t="s">
        <v>600</v>
      </c>
      <c r="D104" s="26" t="s">
        <v>322</v>
      </c>
      <c r="E104" s="27">
        <v>1554</v>
      </c>
      <c r="F104" s="27">
        <v>1554</v>
      </c>
      <c r="G104" s="27">
        <v>1554</v>
      </c>
      <c r="H104" s="27">
        <v>1554</v>
      </c>
      <c r="I104" s="27">
        <v>1554</v>
      </c>
      <c r="J104" s="27">
        <v>1554</v>
      </c>
      <c r="K104" s="27">
        <v>1554</v>
      </c>
      <c r="L104" s="27">
        <v>1554</v>
      </c>
      <c r="M104" s="27">
        <v>1554</v>
      </c>
      <c r="N104" s="27">
        <v>1554</v>
      </c>
      <c r="O104" s="27">
        <v>1554</v>
      </c>
      <c r="P104" s="27">
        <v>1554</v>
      </c>
      <c r="Q104" s="3">
        <f t="shared" ref="Q104:Q110" si="17">SUM(E104:P104)</f>
        <v>18648</v>
      </c>
      <c r="R104" s="3">
        <v>306116.28000000003</v>
      </c>
      <c r="S104" s="3">
        <v>0.46685359503304624</v>
      </c>
      <c r="T104" s="35"/>
      <c r="U104" s="40" t="e">
        <f t="shared" si="9"/>
        <v>#DIV/0!</v>
      </c>
    </row>
    <row r="105" spans="1:21" s="3" customFormat="1" ht="25.4" customHeight="1">
      <c r="A105" s="254" t="s">
        <v>611</v>
      </c>
      <c r="B105" s="3" t="s">
        <v>600</v>
      </c>
      <c r="D105" s="26" t="s">
        <v>324</v>
      </c>
      <c r="E105" s="27">
        <v>207.2</v>
      </c>
      <c r="F105" s="27">
        <v>207.2</v>
      </c>
      <c r="G105" s="27">
        <v>207.2</v>
      </c>
      <c r="H105" s="27">
        <v>207.2</v>
      </c>
      <c r="I105" s="27">
        <v>207.2</v>
      </c>
      <c r="J105" s="27">
        <v>207.2</v>
      </c>
      <c r="K105" s="27">
        <v>207.2</v>
      </c>
      <c r="L105" s="27">
        <v>207.2</v>
      </c>
      <c r="M105" s="27">
        <v>207.2</v>
      </c>
      <c r="N105" s="27">
        <v>207.2</v>
      </c>
      <c r="O105" s="27">
        <v>207.2</v>
      </c>
      <c r="P105" s="27">
        <v>207.2</v>
      </c>
      <c r="Q105" s="3">
        <f t="shared" si="17"/>
        <v>2486.3999999999996</v>
      </c>
      <c r="R105" s="3">
        <v>15840.48</v>
      </c>
      <c r="S105" s="3">
        <v>6.2247146004406159E-2</v>
      </c>
      <c r="T105" s="35"/>
      <c r="U105" s="40" t="e">
        <f t="shared" si="9"/>
        <v>#DIV/0!</v>
      </c>
    </row>
    <row r="106" spans="1:21" s="3" customFormat="1" ht="25.4" customHeight="1">
      <c r="A106" s="254" t="s">
        <v>612</v>
      </c>
      <c r="B106" s="3" t="s">
        <v>600</v>
      </c>
      <c r="D106" s="26" t="s">
        <v>326</v>
      </c>
      <c r="E106" s="27">
        <v>103.6</v>
      </c>
      <c r="F106" s="27">
        <v>103.6</v>
      </c>
      <c r="G106" s="27">
        <v>103.6</v>
      </c>
      <c r="H106" s="27">
        <v>103.6</v>
      </c>
      <c r="I106" s="27">
        <v>103.6</v>
      </c>
      <c r="J106" s="27">
        <v>103.6</v>
      </c>
      <c r="K106" s="27">
        <v>103.6</v>
      </c>
      <c r="L106" s="27">
        <v>103.6</v>
      </c>
      <c r="M106" s="27">
        <v>103.6</v>
      </c>
      <c r="N106" s="27">
        <v>103.6</v>
      </c>
      <c r="O106" s="27">
        <v>103.6</v>
      </c>
      <c r="P106" s="27">
        <v>103.6</v>
      </c>
      <c r="Q106" s="3">
        <f t="shared" si="17"/>
        <v>1243.1999999999998</v>
      </c>
      <c r="R106" s="3">
        <v>7884.16</v>
      </c>
      <c r="S106" s="3">
        <v>3.112357300220308E-2</v>
      </c>
      <c r="T106" s="35"/>
      <c r="U106" s="40" t="e">
        <f t="shared" si="9"/>
        <v>#DIV/0!</v>
      </c>
    </row>
    <row r="107" spans="1:21" s="3" customFormat="1" ht="25.4" customHeight="1">
      <c r="A107" s="254" t="s">
        <v>613</v>
      </c>
      <c r="B107" s="3" t="s">
        <v>600</v>
      </c>
      <c r="D107" s="26" t="s">
        <v>328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17"/>
        <v>0</v>
      </c>
      <c r="R107" s="3">
        <v>36851.85</v>
      </c>
      <c r="S107" s="3">
        <v>0</v>
      </c>
      <c r="T107" s="35"/>
      <c r="U107" s="40">
        <f t="shared" si="9"/>
        <v>0</v>
      </c>
    </row>
    <row r="108" spans="1:21" s="3" customFormat="1" ht="25.4" customHeight="1">
      <c r="A108" s="254" t="s">
        <v>614</v>
      </c>
      <c r="B108" s="3" t="s">
        <v>600</v>
      </c>
      <c r="D108" s="26" t="s">
        <v>330</v>
      </c>
      <c r="E108" s="27">
        <v>2072</v>
      </c>
      <c r="F108" s="27">
        <v>2072</v>
      </c>
      <c r="G108" s="27">
        <v>2072</v>
      </c>
      <c r="H108" s="27">
        <v>2072</v>
      </c>
      <c r="I108" s="27">
        <v>2072</v>
      </c>
      <c r="J108" s="27">
        <v>2072</v>
      </c>
      <c r="K108" s="27">
        <v>2072</v>
      </c>
      <c r="L108" s="27">
        <v>2072</v>
      </c>
      <c r="M108" s="27">
        <v>2072</v>
      </c>
      <c r="N108" s="27">
        <v>2072</v>
      </c>
      <c r="O108" s="27">
        <v>2072</v>
      </c>
      <c r="P108" s="27">
        <v>2072</v>
      </c>
      <c r="Q108" s="3">
        <f t="shared" si="17"/>
        <v>24864</v>
      </c>
      <c r="R108" s="3">
        <v>425126.40000000002</v>
      </c>
      <c r="S108" s="3">
        <v>0.62247146004406173</v>
      </c>
      <c r="T108" s="35"/>
      <c r="U108" s="40" t="e">
        <f t="shared" si="9"/>
        <v>#DIV/0!</v>
      </c>
    </row>
    <row r="109" spans="1:21" s="3" customFormat="1" ht="25.4" customHeight="1">
      <c r="A109" s="254" t="s">
        <v>615</v>
      </c>
      <c r="B109" s="3" t="s">
        <v>600</v>
      </c>
      <c r="D109" s="26" t="s">
        <v>332</v>
      </c>
      <c r="E109" s="27">
        <v>518</v>
      </c>
      <c r="F109" s="27">
        <v>518</v>
      </c>
      <c r="G109" s="27">
        <v>518</v>
      </c>
      <c r="H109" s="27">
        <v>518</v>
      </c>
      <c r="I109" s="27">
        <v>518</v>
      </c>
      <c r="J109" s="27">
        <v>518</v>
      </c>
      <c r="K109" s="27">
        <v>518</v>
      </c>
      <c r="L109" s="27">
        <v>518</v>
      </c>
      <c r="M109" s="27">
        <v>518</v>
      </c>
      <c r="N109" s="27">
        <v>518</v>
      </c>
      <c r="O109" s="27">
        <v>518</v>
      </c>
      <c r="P109" s="27">
        <v>518</v>
      </c>
      <c r="Q109" s="3">
        <f t="shared" si="17"/>
        <v>6216</v>
      </c>
      <c r="R109" s="3">
        <v>0</v>
      </c>
      <c r="S109" s="3">
        <v>0.15561786501101543</v>
      </c>
      <c r="T109" s="35"/>
      <c r="U109" s="40" t="e">
        <f t="shared" si="9"/>
        <v>#DIV/0!</v>
      </c>
    </row>
    <row r="110" spans="1:21" s="3" customFormat="1" ht="25.4" customHeight="1">
      <c r="A110" s="254" t="s">
        <v>616</v>
      </c>
      <c r="B110" s="3" t="s">
        <v>600</v>
      </c>
      <c r="D110" s="26" t="s">
        <v>334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17"/>
        <v>0</v>
      </c>
      <c r="R110" s="3">
        <v>0</v>
      </c>
      <c r="S110" s="3">
        <v>0</v>
      </c>
      <c r="T110" s="35"/>
      <c r="U110" s="40">
        <f t="shared" si="9"/>
        <v>0</v>
      </c>
    </row>
    <row r="111" spans="1:21" s="19" customFormat="1" ht="25.4" customHeight="1">
      <c r="A111" s="54"/>
      <c r="B111" s="51"/>
      <c r="D111" s="19" t="s">
        <v>335</v>
      </c>
      <c r="E111" s="45">
        <f>SUM(E103:E110)</f>
        <v>8421.7000000000007</v>
      </c>
      <c r="F111" s="45">
        <f t="shared" ref="F111:P111" si="18">SUM(F103:F110)</f>
        <v>8421.7000000000007</v>
      </c>
      <c r="G111" s="45">
        <f t="shared" si="18"/>
        <v>8421.7000000000007</v>
      </c>
      <c r="H111" s="45">
        <f t="shared" si="18"/>
        <v>8421.7000000000007</v>
      </c>
      <c r="I111" s="45">
        <f t="shared" si="18"/>
        <v>8421.7000000000007</v>
      </c>
      <c r="J111" s="45">
        <f t="shared" si="18"/>
        <v>8421.7000000000007</v>
      </c>
      <c r="K111" s="45">
        <f t="shared" si="18"/>
        <v>8421.7000000000007</v>
      </c>
      <c r="L111" s="45">
        <f t="shared" si="18"/>
        <v>8421.7000000000007</v>
      </c>
      <c r="M111" s="45">
        <f t="shared" si="18"/>
        <v>8421.7000000000007</v>
      </c>
      <c r="N111" s="45">
        <f t="shared" si="18"/>
        <v>8421.7000000000007</v>
      </c>
      <c r="O111" s="45">
        <f t="shared" si="18"/>
        <v>8421.7000000000007</v>
      </c>
      <c r="P111" s="45">
        <f t="shared" si="18"/>
        <v>8421.7000000000007</v>
      </c>
      <c r="Q111" s="45">
        <f t="shared" ref="Q111" si="19">SUM(Q103:Q110)</f>
        <v>101060.40000000001</v>
      </c>
      <c r="R111" s="45">
        <v>1243615.17</v>
      </c>
      <c r="S111" s="3">
        <v>2.530052072902063</v>
      </c>
      <c r="T111" s="35"/>
      <c r="U111" s="40" t="e">
        <f t="shared" si="9"/>
        <v>#DIV/0!</v>
      </c>
    </row>
    <row r="112" spans="1:21" s="19" customFormat="1" ht="25.4" customHeight="1">
      <c r="A112" s="54"/>
      <c r="B112" s="51"/>
      <c r="D112" s="21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T112" s="35"/>
      <c r="U112" s="40"/>
    </row>
    <row r="113" spans="1:21" s="3" customFormat="1" ht="25.4" customHeight="1">
      <c r="A113" s="254" t="s">
        <v>617</v>
      </c>
      <c r="B113" s="3" t="s">
        <v>600</v>
      </c>
      <c r="D113" s="26" t="s">
        <v>337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>SUM(E113:P113)</f>
        <v>0</v>
      </c>
      <c r="R113" s="3">
        <v>0</v>
      </c>
      <c r="T113" s="35"/>
      <c r="U113" s="40">
        <f t="shared" si="9"/>
        <v>0</v>
      </c>
    </row>
    <row r="114" spans="1:21" s="3" customFormat="1" ht="25.4" customHeight="1">
      <c r="A114" s="254" t="s">
        <v>618</v>
      </c>
      <c r="B114" s="3" t="s">
        <v>600</v>
      </c>
      <c r="D114" s="3" t="s">
        <v>339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ref="Q114:Q120" si="20">SUM(E114:P114)</f>
        <v>0</v>
      </c>
      <c r="R114" s="3">
        <v>0</v>
      </c>
      <c r="T114" s="35"/>
      <c r="U114" s="40">
        <f t="shared" si="9"/>
        <v>0</v>
      </c>
    </row>
    <row r="115" spans="1:21" s="3" customFormat="1" ht="25.4" customHeight="1">
      <c r="A115" s="254" t="s">
        <v>619</v>
      </c>
      <c r="B115" s="3" t="s">
        <v>600</v>
      </c>
      <c r="D115" s="26" t="s">
        <v>341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20"/>
        <v>0</v>
      </c>
      <c r="R115" s="3">
        <v>0</v>
      </c>
      <c r="T115" s="35"/>
      <c r="U115" s="40">
        <f t="shared" si="9"/>
        <v>0</v>
      </c>
    </row>
    <row r="116" spans="1:21" s="3" customFormat="1" ht="25.4" customHeight="1">
      <c r="A116" s="254" t="s">
        <v>620</v>
      </c>
      <c r="B116" s="3" t="s">
        <v>600</v>
      </c>
      <c r="D116" s="26" t="s">
        <v>343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20"/>
        <v>0</v>
      </c>
      <c r="R116" s="3">
        <v>0</v>
      </c>
      <c r="T116" s="35"/>
      <c r="U116" s="40">
        <f t="shared" si="9"/>
        <v>0</v>
      </c>
    </row>
    <row r="117" spans="1:21" s="3" customFormat="1" ht="25.4" customHeight="1">
      <c r="A117" s="254" t="s">
        <v>621</v>
      </c>
      <c r="B117" s="3" t="s">
        <v>600</v>
      </c>
      <c r="D117" s="26" t="s">
        <v>345</v>
      </c>
      <c r="E117" s="27">
        <v>240</v>
      </c>
      <c r="F117" s="27">
        <v>320</v>
      </c>
      <c r="G117" s="27">
        <v>240</v>
      </c>
      <c r="H117" s="27">
        <v>240</v>
      </c>
      <c r="I117" s="27">
        <v>240</v>
      </c>
      <c r="J117" s="27">
        <v>240</v>
      </c>
      <c r="K117" s="27">
        <v>240</v>
      </c>
      <c r="L117" s="27">
        <v>240</v>
      </c>
      <c r="M117" s="27">
        <v>240</v>
      </c>
      <c r="N117" s="27">
        <v>240</v>
      </c>
      <c r="O117" s="27">
        <v>240</v>
      </c>
      <c r="P117" s="27">
        <v>240</v>
      </c>
      <c r="Q117" s="3">
        <f t="shared" si="20"/>
        <v>2960</v>
      </c>
      <c r="R117" s="3">
        <v>154372.09</v>
      </c>
      <c r="S117" s="3">
        <v>7.410374524334068E-2</v>
      </c>
      <c r="T117" s="35"/>
      <c r="U117" s="40" t="e">
        <f t="shared" si="9"/>
        <v>#DIV/0!</v>
      </c>
    </row>
    <row r="118" spans="1:21" s="3" customFormat="1" ht="25.4" customHeight="1">
      <c r="A118" s="50" t="s">
        <v>622</v>
      </c>
      <c r="B118" s="3" t="s">
        <v>600</v>
      </c>
      <c r="D118" s="26" t="s">
        <v>623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20"/>
        <v>0</v>
      </c>
      <c r="R118" s="3">
        <v>147047.38</v>
      </c>
      <c r="S118" s="3">
        <v>0</v>
      </c>
      <c r="T118" s="35"/>
      <c r="U118" s="40">
        <f t="shared" si="9"/>
        <v>0</v>
      </c>
    </row>
    <row r="119" spans="1:21" s="3" customFormat="1" ht="25.4" customHeight="1">
      <c r="A119" s="254" t="s">
        <v>346</v>
      </c>
      <c r="B119" s="3" t="s">
        <v>600</v>
      </c>
      <c r="D119" s="26" t="s">
        <v>347</v>
      </c>
      <c r="E119" s="27">
        <v>1422.92</v>
      </c>
      <c r="F119" s="27">
        <v>1417.32</v>
      </c>
      <c r="G119" s="27">
        <v>1411.76</v>
      </c>
      <c r="H119" s="27">
        <v>1406.24</v>
      </c>
      <c r="I119" s="27">
        <v>1368.84</v>
      </c>
      <c r="J119" s="27">
        <v>1348.32</v>
      </c>
      <c r="K119" s="27">
        <v>1323.52</v>
      </c>
      <c r="L119" s="27">
        <v>1323.52</v>
      </c>
      <c r="M119" s="27">
        <v>1313.88</v>
      </c>
      <c r="N119" s="27">
        <v>1304.3599999999999</v>
      </c>
      <c r="O119" s="27">
        <v>1299.6400000000001</v>
      </c>
      <c r="P119" s="27">
        <v>1294.96</v>
      </c>
      <c r="Q119" s="3">
        <f t="shared" si="20"/>
        <v>16235.279999999999</v>
      </c>
      <c r="R119" s="3">
        <v>1327709.98</v>
      </c>
      <c r="S119" s="3">
        <v>0.39375525736030448</v>
      </c>
      <c r="T119" s="35"/>
      <c r="U119" s="40"/>
    </row>
    <row r="120" spans="1:21" s="3" customFormat="1" ht="25.4" customHeight="1">
      <c r="A120" s="254" t="s">
        <v>624</v>
      </c>
      <c r="B120" s="3" t="s">
        <v>600</v>
      </c>
      <c r="D120" s="26" t="s">
        <v>349</v>
      </c>
      <c r="E120" s="27">
        <v>4213.0000000000018</v>
      </c>
      <c r="F120" s="27">
        <v>4143.5599999999977</v>
      </c>
      <c r="G120" s="27">
        <v>4089.4400000000023</v>
      </c>
      <c r="H120" s="27">
        <v>4107.9199999999983</v>
      </c>
      <c r="I120" s="27">
        <v>4024.6799999999948</v>
      </c>
      <c r="J120" s="27">
        <v>3954.4400000000023</v>
      </c>
      <c r="K120" s="27">
        <v>3922.5199999999986</v>
      </c>
      <c r="L120" s="27">
        <v>3929.6799999999967</v>
      </c>
      <c r="M120" s="27">
        <v>3945.6000000000022</v>
      </c>
      <c r="N120" s="27">
        <v>3974.8399999999965</v>
      </c>
      <c r="O120" s="27">
        <v>3926.3200000000033</v>
      </c>
      <c r="P120" s="27">
        <v>3913.6799999999948</v>
      </c>
      <c r="Q120" s="3">
        <f t="shared" si="20"/>
        <v>48145.679999999978</v>
      </c>
      <c r="R120" s="3">
        <v>460793.89</v>
      </c>
      <c r="S120" s="3">
        <v>4.9722701782495493</v>
      </c>
      <c r="T120" s="35"/>
      <c r="U120" s="40" t="e">
        <f t="shared" si="9"/>
        <v>#DIV/0!</v>
      </c>
    </row>
    <row r="121" spans="1:21" s="3" customFormat="1" ht="25.4" customHeight="1">
      <c r="A121" s="54"/>
      <c r="B121" s="51"/>
      <c r="D121" s="19" t="s">
        <v>350</v>
      </c>
      <c r="E121" s="52">
        <f>SUM(E113:E120)</f>
        <v>5875.9200000000019</v>
      </c>
      <c r="F121" s="52">
        <f t="shared" ref="F121:P121" si="21">SUM(F113:F120)</f>
        <v>5880.8799999999974</v>
      </c>
      <c r="G121" s="52">
        <f t="shared" si="21"/>
        <v>5741.2000000000025</v>
      </c>
      <c r="H121" s="52">
        <f t="shared" si="21"/>
        <v>5754.159999999998</v>
      </c>
      <c r="I121" s="52">
        <f t="shared" si="21"/>
        <v>5633.519999999995</v>
      </c>
      <c r="J121" s="52">
        <f t="shared" si="21"/>
        <v>5542.760000000002</v>
      </c>
      <c r="K121" s="52">
        <f t="shared" si="21"/>
        <v>5486.0399999999991</v>
      </c>
      <c r="L121" s="52">
        <f t="shared" si="21"/>
        <v>5493.1999999999971</v>
      </c>
      <c r="M121" s="52">
        <f t="shared" si="21"/>
        <v>5499.4800000000023</v>
      </c>
      <c r="N121" s="52">
        <f t="shared" si="21"/>
        <v>5519.1999999999962</v>
      </c>
      <c r="O121" s="52">
        <f t="shared" si="21"/>
        <v>5465.9600000000037</v>
      </c>
      <c r="P121" s="52">
        <f t="shared" si="21"/>
        <v>5448.6399999999949</v>
      </c>
      <c r="Q121" s="52">
        <f t="shared" ref="Q121" si="22">SUM(Q113:Q120)</f>
        <v>67340.959999999977</v>
      </c>
      <c r="R121" s="52">
        <v>2089923.34</v>
      </c>
      <c r="S121" s="3">
        <v>5.4401291808531944</v>
      </c>
      <c r="T121" s="35"/>
      <c r="U121" s="40" t="e">
        <f t="shared" si="9"/>
        <v>#DIV/0!</v>
      </c>
    </row>
    <row r="122" spans="1:21" s="3" customFormat="1" ht="25.4" customHeight="1">
      <c r="A122" s="54"/>
      <c r="B122" s="51"/>
      <c r="D122" s="19" t="s">
        <v>351</v>
      </c>
      <c r="E122" s="52">
        <f t="shared" ref="E122:Q122" si="23">E92+E101+E111+E121</f>
        <v>127199.84</v>
      </c>
      <c r="F122" s="52">
        <f t="shared" ref="F122:P122" si="24">F92+F101+F111+F121</f>
        <v>116357.06</v>
      </c>
      <c r="G122" s="52">
        <f t="shared" si="24"/>
        <v>131099.69</v>
      </c>
      <c r="H122" s="52">
        <f t="shared" si="24"/>
        <v>138720.24000000002</v>
      </c>
      <c r="I122" s="52">
        <f t="shared" si="24"/>
        <v>139164.57999999999</v>
      </c>
      <c r="J122" s="52">
        <f t="shared" si="24"/>
        <v>130428.75</v>
      </c>
      <c r="K122" s="52">
        <f t="shared" si="24"/>
        <v>130260.32999999999</v>
      </c>
      <c r="L122" s="52">
        <f t="shared" si="24"/>
        <v>130292.57999999999</v>
      </c>
      <c r="M122" s="52">
        <f t="shared" si="24"/>
        <v>130354.59</v>
      </c>
      <c r="N122" s="52">
        <f t="shared" si="24"/>
        <v>137656.53999999998</v>
      </c>
      <c r="O122" s="52">
        <f t="shared" si="24"/>
        <v>133035.04999999999</v>
      </c>
      <c r="P122" s="52">
        <f t="shared" si="24"/>
        <v>133370.44</v>
      </c>
      <c r="Q122" s="52">
        <f t="shared" si="23"/>
        <v>1577939.6899999997</v>
      </c>
      <c r="R122" s="52">
        <v>8988613.5600000005</v>
      </c>
      <c r="S122" s="3">
        <v>38.869858301622266</v>
      </c>
      <c r="T122" s="35"/>
      <c r="U122" s="40"/>
    </row>
    <row r="123" spans="1:21" s="3" customFormat="1" ht="25.4" customHeight="1">
      <c r="A123" s="54"/>
      <c r="B123" s="51"/>
      <c r="D123" s="21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3">
        <f>Q122-Q99-Q100</f>
        <v>495367.73999999976</v>
      </c>
      <c r="T123" s="35"/>
      <c r="U123" s="40"/>
    </row>
    <row r="124" spans="1:21" s="3" customFormat="1" ht="25.4" customHeight="1">
      <c r="A124" s="3" t="s">
        <v>108</v>
      </c>
      <c r="B124" s="51" t="s">
        <v>51</v>
      </c>
      <c r="D124" s="19" t="s">
        <v>354</v>
      </c>
      <c r="E124" s="43">
        <v>17</v>
      </c>
      <c r="F124" s="43">
        <v>16</v>
      </c>
      <c r="G124" s="43">
        <v>18</v>
      </c>
      <c r="H124" s="43">
        <v>19</v>
      </c>
      <c r="I124" s="43">
        <v>19</v>
      </c>
      <c r="J124" s="43">
        <v>18</v>
      </c>
      <c r="K124" s="43">
        <v>18</v>
      </c>
      <c r="L124" s="43">
        <v>18</v>
      </c>
      <c r="M124" s="43">
        <v>18</v>
      </c>
      <c r="N124" s="43">
        <v>19</v>
      </c>
      <c r="O124" s="43">
        <v>19</v>
      </c>
      <c r="P124" s="43">
        <v>19</v>
      </c>
      <c r="Q124" s="78">
        <f>SUM(E124:P124)/12</f>
        <v>18.166666666666668</v>
      </c>
      <c r="R124" s="79">
        <v>43</v>
      </c>
      <c r="T124" s="35"/>
      <c r="U124" s="40" t="e">
        <f t="shared" ref="U124" si="25">-IF(Q124-T124=0,0,(Q124-T124)/T124)</f>
        <v>#DIV/0!</v>
      </c>
    </row>
    <row r="129" spans="4:17" ht="26.25" customHeight="1">
      <c r="D129" s="314" t="s">
        <v>661</v>
      </c>
      <c r="E129" s="295">
        <f t="shared" ref="E129:M129" si="26">SUM(E130:E134)</f>
        <v>2625339.6</v>
      </c>
      <c r="F129" s="295">
        <f t="shared" si="26"/>
        <v>1944737.8</v>
      </c>
      <c r="G129" s="295">
        <f t="shared" si="26"/>
        <v>2912613.6</v>
      </c>
      <c r="H129" s="295">
        <f t="shared" si="26"/>
        <v>2523722</v>
      </c>
      <c r="I129" s="295">
        <f t="shared" si="26"/>
        <v>3021363.6</v>
      </c>
      <c r="J129" s="295">
        <f t="shared" si="26"/>
        <v>2773652</v>
      </c>
      <c r="K129" s="295">
        <f t="shared" si="26"/>
        <v>2953527.6</v>
      </c>
      <c r="L129" s="295">
        <f t="shared" si="26"/>
        <v>2719027.6</v>
      </c>
      <c r="M129" s="295">
        <f t="shared" si="26"/>
        <v>2316272</v>
      </c>
      <c r="N129" s="295">
        <f>SUM(N130:N134)</f>
        <v>4072247.6</v>
      </c>
      <c r="O129" s="295">
        <f>SUM(O130:O134)</f>
        <v>3710342</v>
      </c>
      <c r="P129" s="295">
        <f>SUM(P130:P134)</f>
        <v>3541547.6</v>
      </c>
      <c r="Q129" s="315">
        <f t="shared" ref="Q129:Q148" si="27">SUM(E129:P129)</f>
        <v>35114393</v>
      </c>
    </row>
    <row r="130" spans="4:17" ht="26.25" customHeight="1">
      <c r="D130" s="316" t="s">
        <v>1158</v>
      </c>
      <c r="E130" s="287">
        <f>+'Fangfei Lounge'!E28</f>
        <v>473858</v>
      </c>
      <c r="F130" s="287">
        <f>+'Fangfei Lounge'!F28</f>
        <v>580470</v>
      </c>
      <c r="G130" s="287">
        <f>+'Fangfei Lounge'!G28</f>
        <v>453992</v>
      </c>
      <c r="H130" s="287">
        <f>+'Fangfei Lounge'!H28</f>
        <v>466400</v>
      </c>
      <c r="I130" s="287">
        <f>+'Fangfei Lounge'!I28</f>
        <v>505582</v>
      </c>
      <c r="J130" s="287">
        <f>+'Fangfei Lounge'!J28</f>
        <v>460130</v>
      </c>
      <c r="K130" s="287">
        <f>+'Fangfei Lounge'!K28</f>
        <v>801746</v>
      </c>
      <c r="L130" s="287">
        <f>+'Fangfei Lounge'!L28</f>
        <v>829246</v>
      </c>
      <c r="M130" s="287">
        <f>+'Fangfei Lounge'!M28</f>
        <v>408320</v>
      </c>
      <c r="N130" s="287">
        <f>+'Fangfei Lounge'!N28</f>
        <v>635206</v>
      </c>
      <c r="O130" s="287">
        <f>+'Fangfei Lounge'!O28</f>
        <v>599060</v>
      </c>
      <c r="P130" s="287">
        <f>+'Fangfei Lounge'!P28</f>
        <v>671506</v>
      </c>
      <c r="Q130" s="294">
        <f t="shared" si="27"/>
        <v>6885516</v>
      </c>
    </row>
    <row r="131" spans="4:17" ht="26.25" customHeight="1">
      <c r="D131" s="316" t="s">
        <v>1153</v>
      </c>
      <c r="E131" s="287">
        <f>+'Royal Court'!E28</f>
        <v>770319</v>
      </c>
      <c r="F131" s="287">
        <f>+'Royal Court'!F28</f>
        <v>770319</v>
      </c>
      <c r="G131" s="287">
        <f>+'Royal Court'!G28</f>
        <v>770319</v>
      </c>
      <c r="H131" s="287">
        <f>+'Royal Court'!H28</f>
        <v>770319</v>
      </c>
      <c r="I131" s="287">
        <f>+'Royal Court'!I28</f>
        <v>850319</v>
      </c>
      <c r="J131" s="287">
        <f>+'Royal Court'!J28</f>
        <v>770319</v>
      </c>
      <c r="K131" s="287">
        <f>+'Royal Court'!K28</f>
        <v>770319</v>
      </c>
      <c r="L131" s="287">
        <f>+'Royal Court'!L28</f>
        <v>770319</v>
      </c>
      <c r="M131" s="287">
        <f>+'Royal Court'!M28</f>
        <v>1180549</v>
      </c>
      <c r="N131" s="287">
        <f>+'Royal Court'!N28</f>
        <v>790779</v>
      </c>
      <c r="O131" s="287">
        <f>+'Royal Court'!O28</f>
        <v>790779</v>
      </c>
      <c r="P131" s="287">
        <f>+'Royal Court'!P28</f>
        <v>810779</v>
      </c>
      <c r="Q131" s="294">
        <f t="shared" si="27"/>
        <v>9815438</v>
      </c>
    </row>
    <row r="132" spans="4:17" ht="26.25" customHeight="1">
      <c r="D132" s="316" t="s">
        <v>1154</v>
      </c>
      <c r="E132" s="287">
        <f>+'Pingju Zhuhai'!E28</f>
        <v>616016.5</v>
      </c>
      <c r="F132" s="287">
        <f>+'Pingju Zhuhai'!F28</f>
        <v>556402</v>
      </c>
      <c r="G132" s="287">
        <f>+'Pingju Zhuhai'!G28</f>
        <v>616016.5</v>
      </c>
      <c r="H132" s="287">
        <f>+'Pingju Zhuhai'!H28</f>
        <v>596145</v>
      </c>
      <c r="I132" s="287">
        <f>+'Pingju Zhuhai'!I28</f>
        <v>616016.5</v>
      </c>
      <c r="J132" s="287">
        <f>+'Pingju Zhuhai'!J28</f>
        <v>596145</v>
      </c>
      <c r="K132" s="287">
        <f>+'Pingju Zhuhai'!K28</f>
        <v>616016.5</v>
      </c>
      <c r="L132" s="287">
        <f>+'Pingju Zhuhai'!L28</f>
        <v>616016.5</v>
      </c>
      <c r="M132" s="287">
        <f>+'Pingju Zhuhai'!M28</f>
        <v>596145</v>
      </c>
      <c r="N132" s="287">
        <f>+'Pingju Zhuhai'!N28</f>
        <v>616016.5</v>
      </c>
      <c r="O132" s="287">
        <f>+'Pingju Zhuhai'!O28</f>
        <v>596145</v>
      </c>
      <c r="P132" s="287">
        <f>+'Pingju Zhuhai'!P28</f>
        <v>616016.5</v>
      </c>
      <c r="Q132" s="294">
        <f t="shared" si="27"/>
        <v>7253097.5</v>
      </c>
    </row>
    <row r="133" spans="4:17" ht="26.25" customHeight="1">
      <c r="D133" s="285" t="s">
        <v>627</v>
      </c>
      <c r="E133" s="287">
        <f>+Banquet!E29</f>
        <v>759700</v>
      </c>
      <c r="F133" s="287">
        <f>+Banquet!F29</f>
        <v>32500</v>
      </c>
      <c r="G133" s="287">
        <f>+Banquet!G29</f>
        <v>1066840</v>
      </c>
      <c r="H133" s="287">
        <f>+Banquet!H29</f>
        <v>685600</v>
      </c>
      <c r="I133" s="287">
        <f>+Banquet!I29</f>
        <v>1044000</v>
      </c>
      <c r="J133" s="287">
        <f>+Banquet!J29</f>
        <v>941800</v>
      </c>
      <c r="K133" s="287">
        <f>+Banquet!K29</f>
        <v>760000</v>
      </c>
      <c r="L133" s="287">
        <f>+Banquet!L29</f>
        <v>498000</v>
      </c>
      <c r="M133" s="287">
        <f>+Banquet!M29</f>
        <v>126000</v>
      </c>
      <c r="N133" s="287">
        <f>+Banquet!N29</f>
        <v>2024800</v>
      </c>
      <c r="O133" s="287">
        <f>+Banquet!O29</f>
        <v>1719100</v>
      </c>
      <c r="P133" s="287">
        <f>+Banquet!P29</f>
        <v>1437800</v>
      </c>
      <c r="Q133" s="294">
        <f t="shared" si="27"/>
        <v>11096140</v>
      </c>
    </row>
    <row r="134" spans="4:17" ht="26.25" customHeight="1">
      <c r="D134" s="316" t="s">
        <v>1155</v>
      </c>
      <c r="E134" s="287">
        <f>+'Room Service'!E28</f>
        <v>5446.1</v>
      </c>
      <c r="F134" s="287">
        <f>+'Room Service'!F28</f>
        <v>5046.8</v>
      </c>
      <c r="G134" s="287">
        <f>+'Room Service'!G28</f>
        <v>5446.1</v>
      </c>
      <c r="H134" s="287">
        <f>+'Room Service'!H28</f>
        <v>5258</v>
      </c>
      <c r="I134" s="287">
        <f>+'Room Service'!I28</f>
        <v>5446.1</v>
      </c>
      <c r="J134" s="287">
        <f>+'Room Service'!J28</f>
        <v>5258</v>
      </c>
      <c r="K134" s="287">
        <f>+'Room Service'!K28</f>
        <v>5446.1</v>
      </c>
      <c r="L134" s="287">
        <f>+'Room Service'!L28</f>
        <v>5446.1</v>
      </c>
      <c r="M134" s="287">
        <f>+'Room Service'!M28</f>
        <v>5258</v>
      </c>
      <c r="N134" s="287">
        <f>+'Room Service'!N28</f>
        <v>5446.1</v>
      </c>
      <c r="O134" s="287">
        <f>+'Room Service'!O28</f>
        <v>5258</v>
      </c>
      <c r="P134" s="287">
        <f>+'Room Service'!P28</f>
        <v>5446.1</v>
      </c>
      <c r="Q134" s="294">
        <f t="shared" si="27"/>
        <v>64201.499999999993</v>
      </c>
    </row>
    <row r="135" spans="4:17" ht="26.25" customHeight="1">
      <c r="D135" s="285"/>
      <c r="E135" s="287"/>
      <c r="F135" s="287"/>
      <c r="G135" s="287"/>
      <c r="H135" s="287"/>
      <c r="I135" s="287"/>
      <c r="J135" s="294"/>
      <c r="K135" s="294"/>
      <c r="L135" s="294"/>
      <c r="M135" s="294"/>
      <c r="N135" s="294"/>
      <c r="O135" s="294"/>
      <c r="P135" s="294"/>
      <c r="Q135" s="294">
        <f t="shared" si="27"/>
        <v>0</v>
      </c>
    </row>
    <row r="136" spans="4:17" ht="26.25" customHeight="1">
      <c r="D136" s="317" t="s">
        <v>1204</v>
      </c>
      <c r="E136" s="295">
        <f>+E78+'F&amp;B Admin'!E78</f>
        <v>0</v>
      </c>
      <c r="F136" s="295">
        <f>+F78+'F&amp;B Admin'!F78</f>
        <v>0</v>
      </c>
      <c r="G136" s="295">
        <f>+G78+'F&amp;B Admin'!G78</f>
        <v>0</v>
      </c>
      <c r="H136" s="295">
        <f>+H78+'F&amp;B Admin'!H78</f>
        <v>0</v>
      </c>
      <c r="I136" s="295">
        <f>+I78+'F&amp;B Admin'!I78</f>
        <v>0</v>
      </c>
      <c r="J136" s="295">
        <f>+J78+'F&amp;B Admin'!J78</f>
        <v>0</v>
      </c>
      <c r="K136" s="295">
        <f>+K78+'F&amp;B Admin'!K78</f>
        <v>0</v>
      </c>
      <c r="L136" s="295">
        <f>+L78+'F&amp;B Admin'!L78</f>
        <v>0</v>
      </c>
      <c r="M136" s="295">
        <f>+M78+'F&amp;B Admin'!M78</f>
        <v>0</v>
      </c>
      <c r="N136" s="295">
        <f>+N78+'F&amp;B Admin'!N78</f>
        <v>0</v>
      </c>
      <c r="O136" s="295">
        <f>+O78+'F&amp;B Admin'!O78</f>
        <v>0</v>
      </c>
      <c r="P136" s="295">
        <f>+P78+'F&amp;B Admin'!P78</f>
        <v>0</v>
      </c>
      <c r="Q136" s="315">
        <f t="shared" ref="Q136:Q141" si="28">SUM(E136:P136)</f>
        <v>0</v>
      </c>
    </row>
    <row r="137" spans="4:17" ht="26.25" customHeight="1">
      <c r="D137" s="316" t="s">
        <v>1152</v>
      </c>
      <c r="E137" s="380">
        <f>+E130/E129</f>
        <v>0.18049398256895982</v>
      </c>
      <c r="F137" s="380">
        <f t="shared" ref="F137:P137" si="29">+F130/F129</f>
        <v>0.29848239695860285</v>
      </c>
      <c r="G137" s="380">
        <f t="shared" si="29"/>
        <v>0.15587100190701575</v>
      </c>
      <c r="H137" s="380">
        <f t="shared" si="29"/>
        <v>0.18480640894678574</v>
      </c>
      <c r="I137" s="380">
        <f t="shared" si="29"/>
        <v>0.16733570232990164</v>
      </c>
      <c r="J137" s="380">
        <f t="shared" si="29"/>
        <v>0.16589319784890103</v>
      </c>
      <c r="K137" s="380">
        <f t="shared" si="29"/>
        <v>0.27145370166847266</v>
      </c>
      <c r="L137" s="380">
        <f t="shared" si="29"/>
        <v>0.3049788828918103</v>
      </c>
      <c r="M137" s="380">
        <f t="shared" si="29"/>
        <v>0.17628326897704588</v>
      </c>
      <c r="N137" s="380">
        <f t="shared" si="29"/>
        <v>0.1559841302380533</v>
      </c>
      <c r="O137" s="380">
        <f t="shared" si="29"/>
        <v>0.16145681449311142</v>
      </c>
      <c r="P137" s="380">
        <f t="shared" si="29"/>
        <v>0.18960806851784232</v>
      </c>
      <c r="Q137" s="294">
        <f t="shared" si="28"/>
        <v>2.4126475573465025</v>
      </c>
    </row>
    <row r="138" spans="4:17" ht="26.25" customHeight="1">
      <c r="D138" s="316" t="s">
        <v>1153</v>
      </c>
      <c r="E138" s="380">
        <f>+E131/E129</f>
        <v>0.29341689737967613</v>
      </c>
      <c r="F138" s="380">
        <f t="shared" ref="F138:P138" si="30">+F131/F129</f>
        <v>0.39610429745336362</v>
      </c>
      <c r="G138" s="380">
        <f t="shared" si="30"/>
        <v>0.26447689456644713</v>
      </c>
      <c r="H138" s="380">
        <f t="shared" si="30"/>
        <v>0.30523132104090706</v>
      </c>
      <c r="I138" s="380">
        <f t="shared" si="30"/>
        <v>0.28143550812619839</v>
      </c>
      <c r="J138" s="380">
        <f t="shared" si="30"/>
        <v>0.2777273428678147</v>
      </c>
      <c r="K138" s="380">
        <f t="shared" si="30"/>
        <v>0.26081320519909817</v>
      </c>
      <c r="L138" s="380">
        <f t="shared" si="30"/>
        <v>0.28330679688576899</v>
      </c>
      <c r="M138" s="380">
        <f t="shared" si="30"/>
        <v>0.50967632471488666</v>
      </c>
      <c r="N138" s="380">
        <f t="shared" si="30"/>
        <v>0.19418735736992024</v>
      </c>
      <c r="O138" s="380">
        <f t="shared" si="30"/>
        <v>0.21312833156620065</v>
      </c>
      <c r="P138" s="380">
        <f t="shared" si="30"/>
        <v>0.22893353177012218</v>
      </c>
      <c r="Q138" s="294">
        <f t="shared" si="28"/>
        <v>3.5084378089404038</v>
      </c>
    </row>
    <row r="139" spans="4:17" ht="26.25" customHeight="1">
      <c r="D139" s="316" t="s">
        <v>1154</v>
      </c>
      <c r="E139" s="380">
        <f>+E132/E129</f>
        <v>0.23464259633306106</v>
      </c>
      <c r="F139" s="380">
        <f t="shared" ref="F139:P139" si="31">+F132/F129</f>
        <v>0.28610643553079496</v>
      </c>
      <c r="G139" s="380">
        <f t="shared" si="31"/>
        <v>0.21149956176816587</v>
      </c>
      <c r="H139" s="380">
        <f t="shared" si="31"/>
        <v>0.23621658803941162</v>
      </c>
      <c r="I139" s="380">
        <f t="shared" si="31"/>
        <v>0.20388691384247828</v>
      </c>
      <c r="J139" s="380">
        <f t="shared" si="31"/>
        <v>0.21493143335933995</v>
      </c>
      <c r="K139" s="380">
        <f t="shared" si="31"/>
        <v>0.20856974554766305</v>
      </c>
      <c r="L139" s="380">
        <f t="shared" si="31"/>
        <v>0.22655764877120041</v>
      </c>
      <c r="M139" s="380">
        <f t="shared" si="31"/>
        <v>0.25737262290439117</v>
      </c>
      <c r="N139" s="380">
        <f t="shared" si="31"/>
        <v>0.15127186765362696</v>
      </c>
      <c r="O139" s="380">
        <f t="shared" si="31"/>
        <v>0.16067117263044756</v>
      </c>
      <c r="P139" s="380">
        <f t="shared" si="31"/>
        <v>0.17393991824365143</v>
      </c>
      <c r="Q139" s="294">
        <f t="shared" si="28"/>
        <v>2.5656665046242328</v>
      </c>
    </row>
    <row r="140" spans="4:17" ht="26.25" customHeight="1">
      <c r="D140" s="316" t="s">
        <v>1157</v>
      </c>
      <c r="E140" s="380">
        <f>+E133/E129</f>
        <v>0.28937208732919734</v>
      </c>
      <c r="F140" s="380">
        <f t="shared" ref="F140:P140" si="32">+F133/F129</f>
        <v>1.6711764434259466E-2</v>
      </c>
      <c r="G140" s="380">
        <f t="shared" si="32"/>
        <v>0.36628270911047039</v>
      </c>
      <c r="H140" s="380">
        <f t="shared" si="32"/>
        <v>0.27166225123052379</v>
      </c>
      <c r="I140" s="380">
        <f t="shared" si="32"/>
        <v>0.34553934521485596</v>
      </c>
      <c r="J140" s="380">
        <f t="shared" si="32"/>
        <v>0.33955233028512588</v>
      </c>
      <c r="K140" s="380">
        <f t="shared" si="32"/>
        <v>0.25731941695753918</v>
      </c>
      <c r="L140" s="380">
        <f t="shared" si="32"/>
        <v>0.18315371274642447</v>
      </c>
      <c r="M140" s="380">
        <f t="shared" si="32"/>
        <v>5.4397756394758474E-2</v>
      </c>
      <c r="N140" s="380">
        <f t="shared" si="32"/>
        <v>0.49721927517373943</v>
      </c>
      <c r="O140" s="380">
        <f t="shared" si="32"/>
        <v>0.46332656127117122</v>
      </c>
      <c r="P140" s="380">
        <f t="shared" si="32"/>
        <v>0.40598070741728842</v>
      </c>
      <c r="Q140" s="294">
        <f t="shared" si="28"/>
        <v>3.4905179175653545</v>
      </c>
    </row>
    <row r="141" spans="4:17" ht="26.25" customHeight="1">
      <c r="D141" s="316" t="s">
        <v>1155</v>
      </c>
      <c r="E141" s="380">
        <f>+E134/E129</f>
        <v>2.074436389105623E-3</v>
      </c>
      <c r="F141" s="380">
        <f t="shared" ref="F141:P141" si="33">+F134/F129</f>
        <v>2.5951056229790979E-3</v>
      </c>
      <c r="G141" s="380">
        <f t="shared" si="33"/>
        <v>1.8698326479008407E-3</v>
      </c>
      <c r="H141" s="380">
        <f t="shared" si="33"/>
        <v>2.0834307423717828E-3</v>
      </c>
      <c r="I141" s="380">
        <f t="shared" si="33"/>
        <v>1.8025304865657349E-3</v>
      </c>
      <c r="J141" s="380">
        <f t="shared" si="33"/>
        <v>1.8956956388184241E-3</v>
      </c>
      <c r="K141" s="380">
        <f t="shared" si="33"/>
        <v>1.8439306272269133E-3</v>
      </c>
      <c r="L141" s="380">
        <f t="shared" si="33"/>
        <v>2.0029587047957881E-3</v>
      </c>
      <c r="M141" s="380">
        <f t="shared" si="33"/>
        <v>2.2700270089177784E-3</v>
      </c>
      <c r="N141" s="380">
        <f t="shared" si="33"/>
        <v>1.3373695646600665E-3</v>
      </c>
      <c r="O141" s="380">
        <f t="shared" si="33"/>
        <v>1.4171200390691748E-3</v>
      </c>
      <c r="P141" s="380">
        <f t="shared" si="33"/>
        <v>1.5377740510956284E-3</v>
      </c>
      <c r="Q141" s="294">
        <f t="shared" si="28"/>
        <v>2.2730211523506853E-2</v>
      </c>
    </row>
    <row r="142" spans="4:17" ht="26.25" customHeight="1">
      <c r="D142" s="316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94"/>
    </row>
    <row r="143" spans="4:17" ht="26.25" customHeight="1">
      <c r="D143" s="317" t="s">
        <v>1156</v>
      </c>
      <c r="E143" s="295">
        <f>+E84+'F&amp;B Admin'!E84</f>
        <v>287155.71000000002</v>
      </c>
      <c r="F143" s="295">
        <f>+F84+'F&amp;B Admin'!F84</f>
        <v>273769.89</v>
      </c>
      <c r="G143" s="295">
        <f>+G84+'F&amp;B Admin'!G84</f>
        <v>308806.76</v>
      </c>
      <c r="H143" s="295">
        <f>+H84+'F&amp;B Admin'!H84</f>
        <v>303310.88</v>
      </c>
      <c r="I143" s="295">
        <f>+I84+'F&amp;B Admin'!I84</f>
        <v>303893.25</v>
      </c>
      <c r="J143" s="295">
        <f>+J84+'F&amp;B Admin'!J84</f>
        <v>287618.82</v>
      </c>
      <c r="K143" s="295">
        <f>+K84+'F&amp;B Admin'!K84</f>
        <v>287270.38</v>
      </c>
      <c r="L143" s="295">
        <f>+L84+'F&amp;B Admin'!L84</f>
        <v>287324.79999999999</v>
      </c>
      <c r="M143" s="295">
        <f>+M84+'F&amp;B Admin'!M84</f>
        <v>323489.40999999997</v>
      </c>
      <c r="N143" s="295">
        <f>+N84+'F&amp;B Admin'!N84</f>
        <v>297038.90999999997</v>
      </c>
      <c r="O143" s="295">
        <f>+O84+'F&amp;B Admin'!O84</f>
        <v>290232.71999999997</v>
      </c>
      <c r="P143" s="295">
        <f>+P84+'F&amp;B Admin'!P84</f>
        <v>290504.36</v>
      </c>
      <c r="Q143" s="315">
        <f t="shared" si="27"/>
        <v>3540415.89</v>
      </c>
    </row>
    <row r="144" spans="4:17" ht="26.25" customHeight="1">
      <c r="D144" s="316" t="s">
        <v>1152</v>
      </c>
      <c r="E144" s="287">
        <f>ROUND(+E$143*E137,2)</f>
        <v>51829.88</v>
      </c>
      <c r="F144" s="287">
        <f t="shared" ref="F144:P144" si="34">ROUND(+F$143*F137,2)</f>
        <v>81715.490000000005</v>
      </c>
      <c r="G144" s="287">
        <f t="shared" si="34"/>
        <v>48134.02</v>
      </c>
      <c r="H144" s="287">
        <f t="shared" si="34"/>
        <v>56053.79</v>
      </c>
      <c r="I144" s="287">
        <f t="shared" si="34"/>
        <v>50852.19</v>
      </c>
      <c r="J144" s="287">
        <f t="shared" si="34"/>
        <v>47714.01</v>
      </c>
      <c r="K144" s="287">
        <f t="shared" si="34"/>
        <v>77980.61</v>
      </c>
      <c r="L144" s="287">
        <f t="shared" si="34"/>
        <v>87628</v>
      </c>
      <c r="M144" s="287">
        <f t="shared" si="34"/>
        <v>57025.77</v>
      </c>
      <c r="N144" s="287">
        <f t="shared" si="34"/>
        <v>46333.36</v>
      </c>
      <c r="O144" s="287">
        <f t="shared" si="34"/>
        <v>46860.05</v>
      </c>
      <c r="P144" s="287">
        <f t="shared" si="34"/>
        <v>55081.97</v>
      </c>
      <c r="Q144" s="294">
        <f t="shared" si="27"/>
        <v>707209.14</v>
      </c>
    </row>
    <row r="145" spans="4:17" ht="26.25" customHeight="1">
      <c r="D145" s="316" t="s">
        <v>1153</v>
      </c>
      <c r="E145" s="287">
        <f>ROUND(+E$143*E138,2)</f>
        <v>84256.34</v>
      </c>
      <c r="F145" s="287">
        <f t="shared" ref="F145:P145" si="35">ROUND(+F$143*F138,2)</f>
        <v>108441.43</v>
      </c>
      <c r="G145" s="287">
        <f t="shared" si="35"/>
        <v>81672.25</v>
      </c>
      <c r="H145" s="287">
        <f t="shared" si="35"/>
        <v>92579.98</v>
      </c>
      <c r="I145" s="287">
        <f t="shared" si="35"/>
        <v>85526.35</v>
      </c>
      <c r="J145" s="287">
        <f t="shared" si="35"/>
        <v>79879.61</v>
      </c>
      <c r="K145" s="287">
        <f t="shared" si="35"/>
        <v>74923.91</v>
      </c>
      <c r="L145" s="287">
        <f t="shared" si="35"/>
        <v>81401.070000000007</v>
      </c>
      <c r="M145" s="287">
        <f t="shared" si="35"/>
        <v>164874.89000000001</v>
      </c>
      <c r="N145" s="287">
        <f t="shared" si="35"/>
        <v>57681.2</v>
      </c>
      <c r="O145" s="287">
        <f t="shared" si="35"/>
        <v>61856.82</v>
      </c>
      <c r="P145" s="287">
        <f t="shared" si="35"/>
        <v>66506.19</v>
      </c>
      <c r="Q145" s="294">
        <f t="shared" si="27"/>
        <v>1039600.0399999998</v>
      </c>
    </row>
    <row r="146" spans="4:17" ht="26.25" customHeight="1">
      <c r="D146" s="316" t="s">
        <v>1154</v>
      </c>
      <c r="E146" s="287">
        <f>ROUND(+E$143*E139,2)</f>
        <v>67378.960000000006</v>
      </c>
      <c r="F146" s="287">
        <f t="shared" ref="F146:P146" si="36">ROUND(+F$143*F139,2)</f>
        <v>78327.33</v>
      </c>
      <c r="G146" s="287">
        <f t="shared" si="36"/>
        <v>65312.49</v>
      </c>
      <c r="H146" s="287">
        <f t="shared" si="36"/>
        <v>71647.06</v>
      </c>
      <c r="I146" s="287">
        <f t="shared" si="36"/>
        <v>61959.86</v>
      </c>
      <c r="J146" s="287">
        <f t="shared" si="36"/>
        <v>61818.33</v>
      </c>
      <c r="K146" s="287">
        <f t="shared" si="36"/>
        <v>59915.91</v>
      </c>
      <c r="L146" s="287">
        <f t="shared" si="36"/>
        <v>65095.63</v>
      </c>
      <c r="M146" s="287">
        <f t="shared" si="36"/>
        <v>83257.320000000007</v>
      </c>
      <c r="N146" s="287">
        <f t="shared" si="36"/>
        <v>44933.63</v>
      </c>
      <c r="O146" s="287">
        <f t="shared" si="36"/>
        <v>46632.03</v>
      </c>
      <c r="P146" s="287">
        <f t="shared" si="36"/>
        <v>50530.3</v>
      </c>
      <c r="Q146" s="294">
        <f t="shared" si="27"/>
        <v>756808.85</v>
      </c>
    </row>
    <row r="147" spans="4:17" ht="26.25" customHeight="1">
      <c r="D147" s="316" t="s">
        <v>1157</v>
      </c>
      <c r="E147" s="287">
        <f>ROUND(+E$143*E140,2)</f>
        <v>83094.850000000006</v>
      </c>
      <c r="F147" s="287">
        <f t="shared" ref="F147:P147" si="37">ROUND(+F$143*F140,2)</f>
        <v>4575.18</v>
      </c>
      <c r="G147" s="287">
        <f t="shared" si="37"/>
        <v>113110.58</v>
      </c>
      <c r="H147" s="287">
        <f t="shared" si="37"/>
        <v>82398.12</v>
      </c>
      <c r="I147" s="287">
        <f t="shared" si="37"/>
        <v>105007.07</v>
      </c>
      <c r="J147" s="287">
        <f t="shared" si="37"/>
        <v>97661.64</v>
      </c>
      <c r="K147" s="287">
        <f t="shared" si="37"/>
        <v>73920.25</v>
      </c>
      <c r="L147" s="287">
        <f t="shared" si="37"/>
        <v>52624.6</v>
      </c>
      <c r="M147" s="287">
        <f t="shared" si="37"/>
        <v>17597.099999999999</v>
      </c>
      <c r="N147" s="287">
        <f t="shared" si="37"/>
        <v>147693.47</v>
      </c>
      <c r="O147" s="287">
        <f t="shared" si="37"/>
        <v>134472.53</v>
      </c>
      <c r="P147" s="287">
        <f t="shared" si="37"/>
        <v>117939.17</v>
      </c>
      <c r="Q147" s="294">
        <f t="shared" si="27"/>
        <v>1030094.5599999999</v>
      </c>
    </row>
    <row r="148" spans="4:17" ht="26.25" customHeight="1">
      <c r="D148" s="316" t="s">
        <v>1155</v>
      </c>
      <c r="E148" s="287">
        <f>ROUND(+E$143*E141,2)</f>
        <v>595.69000000000005</v>
      </c>
      <c r="F148" s="287">
        <f t="shared" ref="F148:P148" si="38">ROUND(+F$143*F141,2)</f>
        <v>710.46</v>
      </c>
      <c r="G148" s="287">
        <f t="shared" si="38"/>
        <v>577.41999999999996</v>
      </c>
      <c r="H148" s="287">
        <f t="shared" si="38"/>
        <v>631.92999999999995</v>
      </c>
      <c r="I148" s="287">
        <f t="shared" si="38"/>
        <v>547.78</v>
      </c>
      <c r="J148" s="287">
        <f t="shared" si="38"/>
        <v>545.24</v>
      </c>
      <c r="K148" s="287">
        <f t="shared" si="38"/>
        <v>529.71</v>
      </c>
      <c r="L148" s="287">
        <f t="shared" si="38"/>
        <v>575.5</v>
      </c>
      <c r="M148" s="287">
        <f t="shared" si="38"/>
        <v>734.33</v>
      </c>
      <c r="N148" s="287">
        <f t="shared" si="38"/>
        <v>397.25</v>
      </c>
      <c r="O148" s="287">
        <f t="shared" si="38"/>
        <v>411.29</v>
      </c>
      <c r="P148" s="287">
        <f t="shared" si="38"/>
        <v>446.73</v>
      </c>
      <c r="Q148" s="294">
        <f t="shared" si="27"/>
        <v>6703.33</v>
      </c>
    </row>
  </sheetData>
  <phoneticPr fontId="56" type="noConversion"/>
  <dataValidations count="28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3096.21_x000d__x000a_" sqref="E120:P120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2=0_x000d__x000a_" sqref="R12 Q14 S15 Q86 Q90 E113:P116 Q113:R120 R124 Q15:R82 R85:R86 R90:R91 E109:P110 R103:R110 E100:P100 F13 R94:R100 E118:P119">
      <formula1>0</formula1>
      <formula2>300</formula2>
    </dataValidation>
    <dataValidation type="textLength" errorStyle="information" allowBlank="1" showInputMessage="1" showErrorMessage="1" error="XLBVal:6=0_x000d__x000a_" sqref="E83:R83">
      <formula1>0</formula1>
      <formula2>300</formula2>
    </dataValidation>
    <dataValidation type="textLength" errorStyle="information" allowBlank="1" showInputMessage="1" showErrorMessage="1" error="XLBVal:6=9711240_x000d__x000a_" sqref="Q91">
      <formula1>0</formula1>
      <formula2>300</formula2>
    </dataValidation>
    <dataValidation type="textLength" errorStyle="information" allowBlank="1" showInputMessage="1" showErrorMessage="1" error="XLBVal:6=3239.86_x000d__x000a_" sqref="E84:R84">
      <formula1>0</formula1>
      <formula2>300</formula2>
    </dataValidation>
    <dataValidation type="textLength" errorStyle="information" allowBlank="1" showInputMessage="1" showErrorMessage="1" error="XLBVal:6=45_x000d__x000a_" sqref="E124:P124">
      <formula1>0</formula1>
      <formula2>300</formula2>
    </dataValidation>
    <dataValidation type="textLength" errorStyle="information" allowBlank="1" showInputMessage="1" showErrorMessage="1" error="XLBVal:6=877418.59_x000d__x000a_" sqref="E85">
      <formula1>0</formula1>
      <formula2>300</formula2>
    </dataValidation>
    <dataValidation type="textLength" errorStyle="information" allowBlank="1" showInputMessage="1" showErrorMessage="1" error="XLBVal:6=900857.82_x000d__x000a_" sqref="F85">
      <formula1>0</formula1>
      <formula2>300</formula2>
    </dataValidation>
    <dataValidation type="textLength" errorStyle="information" allowBlank="1" showInputMessage="1" showErrorMessage="1" error="XLBVal:6=1064596.75_x000d__x000a_" sqref="G85:P85">
      <formula1>0</formula1>
      <formula2>300</formula2>
    </dataValidation>
    <dataValidation type="textLength" errorStyle="information" allowBlank="1" showInputMessage="1" showErrorMessage="1" error="XLBVal:6=12779429.56_x000d__x000a_" sqref="Q85">
      <formula1>0</formula1>
      <formula2>300</formula2>
    </dataValidation>
    <dataValidation type="textLength" errorStyle="information" allowBlank="1" showInputMessage="1" showErrorMessage="1" error="XLBVal:6=-107687.87_x000d__x000a_" sqref="E86:P86">
      <formula1>0</formula1>
      <formula2>300</formula2>
    </dataValidation>
    <dataValidation type="textLength" errorStyle="information" allowBlank="1" showInputMessage="1" showErrorMessage="1" sqref="E88:I89 E121:P123 Q121:R122">
      <formula1>0</formula1>
      <formula2>300</formula2>
    </dataValidation>
    <dataValidation type="textLength" errorStyle="information" allowBlank="1" showInputMessage="1" showErrorMessage="1" error="XLBVal:6=3678_x000d__x000a_" sqref="E112:P112 E111:R111">
      <formula1>0</formula1>
      <formula2>300</formula2>
    </dataValidation>
    <dataValidation type="textLength" errorStyle="information" allowBlank="1" showInputMessage="1" showErrorMessage="1" error="XLBVal:6=2737.78_x000d__x000a_" sqref="E117:P117">
      <formula1>0</formula1>
      <formula2>300</formula2>
    </dataValidation>
    <dataValidation type="textLength" errorStyle="information" allowBlank="1" showInputMessage="1" showErrorMessage="1" error="XLBVal:6=1260_x000d__x000a_" sqref="Q124">
      <formula1>0</formula1>
      <formula2>300</formula2>
    </dataValidation>
    <dataValidation type="textLength" errorStyle="information" allowBlank="1" showInputMessage="1" showErrorMessage="1" error="XLBVal:6=6688509.16_x000d__x000a_" sqref="E13:E14 F14:P14">
      <formula1>0</formula1>
      <formula2>300</formula2>
    </dataValidation>
    <dataValidation type="textLength" errorStyle="information" allowBlank="1" showInputMessage="1" showErrorMessage="1" error="XLBVal:6=1170.04_x000d__x000a_" sqref="E94:P99">
      <formula1>0</formula1>
      <formula2>300</formula2>
    </dataValidation>
    <dataValidation type="textLength" errorStyle="information" allowBlank="1" showInputMessage="1" showErrorMessage="1" error="XLBVal:6=6595485.04_x000d__x000a_" sqref="G13">
      <formula1>0</formula1>
      <formula2>300</formula2>
    </dataValidation>
    <dataValidation type="textLength" errorStyle="information" allowBlank="1" showInputMessage="1" showErrorMessage="1" error="XLBVal:5=-2586288.67_x000d__x000a_" sqref="H13">
      <formula1>0</formula1>
      <formula2>300</formula2>
    </dataValidation>
    <dataValidation type="textLength" errorStyle="information" allowBlank="1" showInputMessage="1" showErrorMessage="1" error="XLBVal:6=1293444_x000d__x000a_" sqref="Q103:Q110">
      <formula1>0</formula1>
      <formula2>300</formula2>
    </dataValidation>
    <dataValidation type="textLength" errorStyle="information" allowBlank="1" showInputMessage="1" showErrorMessage="1" error="XLBVal:6=3368.67_x000d__x000a_" sqref="E103:P108">
      <formula1>0</formula1>
      <formula2>300</formula2>
    </dataValidation>
    <dataValidation type="textLength" errorStyle="information" allowBlank="1" showInputMessage="1" showErrorMessage="1" error="XLBVal:5=15426.66_x000d__x000a_" sqref="I13:P13">
      <formula1>0</formula1>
      <formula2>300</formula2>
    </dataValidation>
    <dataValidation type="textLength" errorStyle="information" allowBlank="1" showInputMessage="1" showErrorMessage="1" error="XLBVal:6=11011.46_x000d__x000a_" sqref="E90:P91">
      <formula1>0</formula1>
      <formula2>300</formula2>
    </dataValidation>
    <dataValidation type="textLength" errorStyle="information" allowBlank="1" showInputMessage="1" showErrorMessage="1" error="XLBVal:6=169013_x000d__x000a_" sqref="Q94:Q100">
      <formula1>0</formula1>
      <formula2>300</formula2>
    </dataValidation>
    <dataValidation type="textLength" allowBlank="1" showErrorMessage="1" sqref="E15:P8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9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CC00"/>
    <pageSetUpPr fitToPage="1"/>
  </sheetPr>
  <dimension ref="A1:U105"/>
  <sheetViews>
    <sheetView topLeftCell="D1" zoomScale="50" zoomScaleNormal="50" zoomScaleSheetLayoutView="40" workbookViewId="0">
      <pane xSplit="1" ySplit="10" topLeftCell="E18" activePane="bottomRight" state="frozen"/>
      <selection activeCell="D9" sqref="D9"/>
      <selection pane="topRight" activeCell="D9" sqref="D9"/>
      <selection pane="bottomLeft" activeCell="D9" sqref="D9"/>
      <selection pane="bottomRight" activeCell="Q98" sqref="Q98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68.453125" style="6" customWidth="1" collapsed="1"/>
    <col min="5" max="5" width="22.453125" style="7" customWidth="1"/>
    <col min="6" max="6" width="22.453125" style="82" customWidth="1"/>
    <col min="7" max="7" width="22.453125" style="7" customWidth="1"/>
    <col min="8" max="8" width="22.453125" style="6" customWidth="1"/>
    <col min="9" max="9" width="22.453125" style="7" customWidth="1"/>
    <col min="10" max="10" width="22.453125" style="82" customWidth="1"/>
    <col min="11" max="11" width="22.453125" style="7" customWidth="1"/>
    <col min="12" max="12" width="22.453125" style="83" customWidth="1"/>
    <col min="13" max="13" width="22.453125" style="7" customWidth="1"/>
    <col min="14" max="14" width="25.453125" style="82" customWidth="1"/>
    <col min="15" max="16" width="25.453125" style="5" customWidth="1"/>
    <col min="17" max="17" width="27.453125" style="5" customWidth="1"/>
    <col min="18" max="18" width="18.90625" style="5" customWidth="1"/>
    <col min="19" max="19" width="18.90625" style="5" hidden="1" customWidth="1"/>
    <col min="20" max="20" width="22.453125" style="8" hidden="1" customWidth="1"/>
    <col min="21" max="21" width="22.453125" style="5" hidden="1" customWidth="1"/>
    <col min="22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</row>
    <row r="4" spans="1:21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T4" s="33"/>
    </row>
    <row r="5" spans="1:21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T5" s="33"/>
    </row>
    <row r="6" spans="1:21" s="2" customFormat="1" ht="25.4" customHeight="1">
      <c r="D6" s="14" t="s">
        <v>664</v>
      </c>
      <c r="E6" s="13"/>
      <c r="F6" s="86"/>
      <c r="G6" s="13"/>
      <c r="H6" s="87"/>
      <c r="I6" s="13"/>
      <c r="J6" s="86"/>
      <c r="K6" s="13"/>
      <c r="L6" s="94"/>
      <c r="M6" s="13"/>
      <c r="N6" s="86"/>
      <c r="T6" s="33"/>
    </row>
    <row r="7" spans="1:21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/>
      <c r="T9" s="109"/>
      <c r="U9" s="110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4" t="s">
        <v>22</v>
      </c>
      <c r="T10" s="36" t="s">
        <v>23</v>
      </c>
      <c r="U10" s="37" t="s">
        <v>24</v>
      </c>
    </row>
    <row r="11" spans="1:21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T11" s="35"/>
    </row>
    <row r="12" spans="1:21" s="3" customFormat="1" ht="25.4" hidden="1" customHeight="1">
      <c r="A12" s="3" t="s">
        <v>665</v>
      </c>
      <c r="B12" s="3" t="s">
        <v>666</v>
      </c>
      <c r="D12" s="3" t="s">
        <v>667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>
        <f>SUM(E12:P12)</f>
        <v>0</v>
      </c>
      <c r="T12" s="35">
        <v>0</v>
      </c>
      <c r="U12" s="40">
        <f t="shared" ref="U12:U27" si="0">IF(Q12-T12=0,0,(Q12-T12)/T12)</f>
        <v>0</v>
      </c>
    </row>
    <row r="13" spans="1:21" s="3" customFormat="1" ht="25.4" customHeight="1">
      <c r="A13" s="3" t="s">
        <v>668</v>
      </c>
      <c r="B13" s="3" t="s">
        <v>669</v>
      </c>
      <c r="D13" s="26" t="s">
        <v>670</v>
      </c>
      <c r="E13" s="43">
        <f>+'Health Club'!E12</f>
        <v>11300</v>
      </c>
      <c r="F13" s="43">
        <f>+'Health Club'!F12</f>
        <v>17300</v>
      </c>
      <c r="G13" s="43">
        <f>+'Health Club'!G12</f>
        <v>23300</v>
      </c>
      <c r="H13" s="43">
        <f>+'Health Club'!H12</f>
        <v>29300</v>
      </c>
      <c r="I13" s="43">
        <f>+'Health Club'!I12</f>
        <v>35300</v>
      </c>
      <c r="J13" s="43">
        <f>+'Health Club'!J12</f>
        <v>41300</v>
      </c>
      <c r="K13" s="43">
        <f>+'Health Club'!K12</f>
        <v>47300</v>
      </c>
      <c r="L13" s="43">
        <f>+'Health Club'!L12</f>
        <v>41300</v>
      </c>
      <c r="M13" s="43">
        <f>+'Health Club'!M12</f>
        <v>53300</v>
      </c>
      <c r="N13" s="43">
        <f>+'Health Club'!N12</f>
        <v>59300</v>
      </c>
      <c r="O13" s="43">
        <f>+'Health Club'!O12</f>
        <v>71300</v>
      </c>
      <c r="P13" s="43">
        <f>+'Health Club'!P12</f>
        <v>71300</v>
      </c>
      <c r="Q13" s="61">
        <f>SUM(E13:P13)</f>
        <v>501600</v>
      </c>
      <c r="T13" s="35"/>
      <c r="U13" s="40" t="e">
        <f t="shared" si="0"/>
        <v>#DIV/0!</v>
      </c>
    </row>
    <row r="14" spans="1:21" s="3" customFormat="1" ht="25.4" hidden="1" customHeight="1">
      <c r="A14" s="3" t="s">
        <v>671</v>
      </c>
      <c r="B14" s="3" t="s">
        <v>672</v>
      </c>
      <c r="D14" s="26" t="s">
        <v>673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61">
        <f t="shared" ref="Q14:Q26" si="1">SUM(E14:P14)</f>
        <v>0</v>
      </c>
      <c r="T14" s="35"/>
      <c r="U14" s="40">
        <f t="shared" si="0"/>
        <v>0</v>
      </c>
    </row>
    <row r="15" spans="1:21" s="3" customFormat="1" ht="25.4" hidden="1" customHeight="1">
      <c r="A15" s="3" t="s">
        <v>674</v>
      </c>
      <c r="B15" s="3" t="s">
        <v>675</v>
      </c>
      <c r="D15" s="26" t="s">
        <v>676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61">
        <f t="shared" si="1"/>
        <v>0</v>
      </c>
      <c r="T15" s="35"/>
      <c r="U15" s="40">
        <f t="shared" si="0"/>
        <v>0</v>
      </c>
    </row>
    <row r="16" spans="1:21" s="3" customFormat="1" ht="25.4" hidden="1" customHeight="1">
      <c r="A16" s="3" t="s">
        <v>677</v>
      </c>
      <c r="B16" s="3" t="s">
        <v>678</v>
      </c>
      <c r="D16" s="72" t="s">
        <v>679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61">
        <f t="shared" si="1"/>
        <v>0</v>
      </c>
      <c r="T16" s="35"/>
      <c r="U16" s="40">
        <f t="shared" si="0"/>
        <v>0</v>
      </c>
    </row>
    <row r="17" spans="1:21" s="3" customFormat="1" ht="25.4" hidden="1" customHeight="1">
      <c r="A17" s="3" t="s">
        <v>680</v>
      </c>
      <c r="B17" s="3" t="s">
        <v>681</v>
      </c>
      <c r="D17" s="26" t="s">
        <v>682</v>
      </c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61">
        <f t="shared" si="1"/>
        <v>0</v>
      </c>
      <c r="T17" s="35"/>
      <c r="U17" s="40">
        <f t="shared" si="0"/>
        <v>0</v>
      </c>
    </row>
    <row r="18" spans="1:21" s="3" customFormat="1" ht="25.4" customHeight="1">
      <c r="A18" s="3" t="s">
        <v>683</v>
      </c>
      <c r="B18" s="3" t="s">
        <v>684</v>
      </c>
      <c r="D18" s="26" t="s">
        <v>685</v>
      </c>
      <c r="E18" s="43">
        <f>+BC!E21</f>
        <v>0</v>
      </c>
      <c r="F18" s="43">
        <f>+BC!F21</f>
        <v>0</v>
      </c>
      <c r="G18" s="43">
        <f>+BC!G21</f>
        <v>0</v>
      </c>
      <c r="H18" s="43">
        <f>+BC!H21</f>
        <v>0</v>
      </c>
      <c r="I18" s="43">
        <f>+BC!I21</f>
        <v>0</v>
      </c>
      <c r="J18" s="43">
        <f>+BC!J21</f>
        <v>0</v>
      </c>
      <c r="K18" s="43">
        <f>+BC!K21</f>
        <v>0</v>
      </c>
      <c r="L18" s="43">
        <f>+BC!L21</f>
        <v>0</v>
      </c>
      <c r="M18" s="43">
        <f>+BC!M21</f>
        <v>0</v>
      </c>
      <c r="N18" s="43">
        <f>+BC!N21</f>
        <v>0</v>
      </c>
      <c r="O18" s="43">
        <f>+BC!O21</f>
        <v>0</v>
      </c>
      <c r="P18" s="43">
        <f>+BC!P21</f>
        <v>0</v>
      </c>
      <c r="Q18" s="61">
        <f t="shared" si="1"/>
        <v>0</v>
      </c>
      <c r="T18" s="35"/>
      <c r="U18" s="40">
        <f t="shared" si="0"/>
        <v>0</v>
      </c>
    </row>
    <row r="19" spans="1:21" s="3" customFormat="1" ht="25.4" customHeight="1">
      <c r="A19" s="3" t="s">
        <v>686</v>
      </c>
      <c r="B19" s="3" t="s">
        <v>687</v>
      </c>
      <c r="D19" s="26" t="s">
        <v>688</v>
      </c>
      <c r="E19" s="43">
        <f>+Telephone!E14</f>
        <v>0</v>
      </c>
      <c r="F19" s="43">
        <f>+Telephone!F14</f>
        <v>0</v>
      </c>
      <c r="G19" s="43">
        <f>+Telephone!G14</f>
        <v>0</v>
      </c>
      <c r="H19" s="43">
        <f>+Telephone!H14</f>
        <v>0</v>
      </c>
      <c r="I19" s="43">
        <f>+Telephone!I14</f>
        <v>0</v>
      </c>
      <c r="J19" s="43">
        <f>+Telephone!J14</f>
        <v>0</v>
      </c>
      <c r="K19" s="43">
        <f>+Telephone!K14</f>
        <v>0</v>
      </c>
      <c r="L19" s="43">
        <f>+Telephone!L14</f>
        <v>0</v>
      </c>
      <c r="M19" s="43">
        <f>+Telephone!M14</f>
        <v>0</v>
      </c>
      <c r="N19" s="43">
        <f>+Telephone!N14</f>
        <v>0</v>
      </c>
      <c r="O19" s="43">
        <f>+Telephone!O14</f>
        <v>0</v>
      </c>
      <c r="P19" s="43">
        <f>+Telephone!P14</f>
        <v>0</v>
      </c>
      <c r="Q19" s="61">
        <f t="shared" si="1"/>
        <v>0</v>
      </c>
      <c r="T19" s="35"/>
      <c r="U19" s="40">
        <f t="shared" si="0"/>
        <v>0</v>
      </c>
    </row>
    <row r="20" spans="1:21" s="3" customFormat="1" ht="25.4" customHeight="1">
      <c r="A20" s="3" t="s">
        <v>689</v>
      </c>
      <c r="B20" s="3" t="s">
        <v>690</v>
      </c>
      <c r="D20" s="26" t="s">
        <v>691</v>
      </c>
      <c r="E20" s="43">
        <f>Transportation!E15</f>
        <v>1800</v>
      </c>
      <c r="F20" s="43">
        <f>Transportation!F15</f>
        <v>3200</v>
      </c>
      <c r="G20" s="43">
        <f>Transportation!G15</f>
        <v>1800</v>
      </c>
      <c r="H20" s="43">
        <f>Transportation!H15</f>
        <v>1800</v>
      </c>
      <c r="I20" s="43">
        <f>Transportation!I15</f>
        <v>3200</v>
      </c>
      <c r="J20" s="43">
        <f>Transportation!J15</f>
        <v>1800</v>
      </c>
      <c r="K20" s="43">
        <f>Transportation!K15</f>
        <v>3200</v>
      </c>
      <c r="L20" s="43">
        <f>Transportation!L15</f>
        <v>3200</v>
      </c>
      <c r="M20" s="43">
        <f>Transportation!M15</f>
        <v>1800</v>
      </c>
      <c r="N20" s="43">
        <f>Transportation!N15</f>
        <v>3200</v>
      </c>
      <c r="O20" s="43">
        <f>Transportation!O15</f>
        <v>3200</v>
      </c>
      <c r="P20" s="43">
        <f>Transportation!P15</f>
        <v>1800</v>
      </c>
      <c r="Q20" s="61">
        <f t="shared" si="1"/>
        <v>30000</v>
      </c>
      <c r="T20" s="35"/>
      <c r="U20" s="40" t="e">
        <f t="shared" si="0"/>
        <v>#DIV/0!</v>
      </c>
    </row>
    <row r="21" spans="1:21" s="3" customFormat="1" ht="25.4" customHeight="1">
      <c r="A21" s="3" t="s">
        <v>692</v>
      </c>
      <c r="B21" s="3" t="s">
        <v>693</v>
      </c>
      <c r="D21" s="26" t="s">
        <v>694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61">
        <f t="shared" si="1"/>
        <v>0</v>
      </c>
      <c r="T21" s="35"/>
      <c r="U21" s="40">
        <f t="shared" si="0"/>
        <v>0</v>
      </c>
    </row>
    <row r="22" spans="1:21" s="3" customFormat="1" ht="25.4" hidden="1" customHeight="1">
      <c r="A22" s="3" t="s">
        <v>695</v>
      </c>
      <c r="B22" s="3" t="s">
        <v>696</v>
      </c>
      <c r="D22" s="26" t="s">
        <v>697</v>
      </c>
      <c r="E22" s="43">
        <f>'DYT Galleria'!E14</f>
        <v>0</v>
      </c>
      <c r="F22" s="43">
        <f>'DYT Galleria'!F14</f>
        <v>0</v>
      </c>
      <c r="G22" s="43">
        <f>'DYT Galleria'!G14</f>
        <v>0</v>
      </c>
      <c r="H22" s="43">
        <f>'DYT Galleria'!H14</f>
        <v>0</v>
      </c>
      <c r="I22" s="43">
        <f>'DYT Galleria'!I14</f>
        <v>0</v>
      </c>
      <c r="J22" s="43">
        <f>'DYT Galleria'!J14</f>
        <v>0</v>
      </c>
      <c r="K22" s="43">
        <f>'DYT Galleria'!K14</f>
        <v>0</v>
      </c>
      <c r="L22" s="43">
        <f>'DYT Galleria'!L14</f>
        <v>0</v>
      </c>
      <c r="M22" s="43">
        <f>'DYT Galleria'!M14</f>
        <v>0</v>
      </c>
      <c r="N22" s="43">
        <f>'DYT Galleria'!N14</f>
        <v>0</v>
      </c>
      <c r="O22" s="43">
        <f>'DYT Galleria'!O14</f>
        <v>0</v>
      </c>
      <c r="P22" s="43">
        <f>'DYT Galleria'!P14</f>
        <v>0</v>
      </c>
      <c r="Q22" s="61">
        <f t="shared" si="1"/>
        <v>0</v>
      </c>
      <c r="T22" s="35"/>
      <c r="U22" s="40">
        <f t="shared" si="0"/>
        <v>0</v>
      </c>
    </row>
    <row r="23" spans="1:21" s="3" customFormat="1" ht="25.4" hidden="1" customHeight="1">
      <c r="A23" s="3" t="s">
        <v>695</v>
      </c>
      <c r="B23" s="3" t="s">
        <v>698</v>
      </c>
      <c r="D23" s="26" t="s">
        <v>699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61">
        <f t="shared" si="1"/>
        <v>0</v>
      </c>
      <c r="T23" s="35"/>
      <c r="U23" s="40">
        <f t="shared" si="0"/>
        <v>0</v>
      </c>
    </row>
    <row r="24" spans="1:21" s="3" customFormat="1" ht="25.4" customHeight="1">
      <c r="A24" s="3" t="s">
        <v>700</v>
      </c>
      <c r="B24" s="3" t="s">
        <v>701</v>
      </c>
      <c r="D24" s="26" t="s">
        <v>702</v>
      </c>
      <c r="E24" s="43">
        <f>'Guest Laundry'!E18</f>
        <v>4500</v>
      </c>
      <c r="F24" s="43">
        <f>'Guest Laundry'!F18</f>
        <v>4000</v>
      </c>
      <c r="G24" s="43">
        <f>'Guest Laundry'!G18</f>
        <v>4000</v>
      </c>
      <c r="H24" s="43">
        <f>'Guest Laundry'!H18</f>
        <v>4000</v>
      </c>
      <c r="I24" s="43">
        <f>'Guest Laundry'!I18</f>
        <v>4500</v>
      </c>
      <c r="J24" s="43">
        <f>'Guest Laundry'!J18</f>
        <v>4000</v>
      </c>
      <c r="K24" s="43">
        <f>'Guest Laundry'!K18</f>
        <v>4000</v>
      </c>
      <c r="L24" s="43">
        <f>'Guest Laundry'!L18</f>
        <v>4000</v>
      </c>
      <c r="M24" s="43">
        <f>'Guest Laundry'!M18</f>
        <v>4000</v>
      </c>
      <c r="N24" s="43">
        <f>'Guest Laundry'!N18</f>
        <v>4500</v>
      </c>
      <c r="O24" s="43">
        <f>'Guest Laundry'!O18</f>
        <v>4000</v>
      </c>
      <c r="P24" s="43">
        <f>'Guest Laundry'!P18</f>
        <v>4000</v>
      </c>
      <c r="Q24" s="61">
        <f t="shared" si="1"/>
        <v>49500</v>
      </c>
      <c r="T24" s="35"/>
      <c r="U24" s="40" t="e">
        <f t="shared" si="0"/>
        <v>#DIV/0!</v>
      </c>
    </row>
    <row r="25" spans="1:21" s="3" customFormat="1" ht="25.4" hidden="1" customHeight="1">
      <c r="A25" s="3" t="s">
        <v>703</v>
      </c>
      <c r="B25" s="3" t="s">
        <v>704</v>
      </c>
      <c r="D25" s="26" t="s">
        <v>705</v>
      </c>
      <c r="E25" s="43">
        <f>Apartment!E15</f>
        <v>0</v>
      </c>
      <c r="F25" s="43">
        <f>Apartment!F15</f>
        <v>0</v>
      </c>
      <c r="G25" s="43">
        <f>Apartment!G15</f>
        <v>0</v>
      </c>
      <c r="H25" s="43">
        <f>Apartment!H15</f>
        <v>0</v>
      </c>
      <c r="I25" s="43">
        <f>Apartment!I15</f>
        <v>0</v>
      </c>
      <c r="J25" s="43">
        <f>Apartment!J15</f>
        <v>0</v>
      </c>
      <c r="K25" s="43">
        <f>Apartment!K15</f>
        <v>0</v>
      </c>
      <c r="L25" s="43">
        <f>Apartment!L15</f>
        <v>0</v>
      </c>
      <c r="M25" s="43">
        <f>Apartment!M15</f>
        <v>0</v>
      </c>
      <c r="N25" s="43">
        <f>Apartment!N15</f>
        <v>0</v>
      </c>
      <c r="O25" s="43">
        <f>Apartment!O15</f>
        <v>0</v>
      </c>
      <c r="P25" s="43">
        <f>Apartment!P15</f>
        <v>0</v>
      </c>
      <c r="Q25" s="61">
        <f t="shared" si="1"/>
        <v>0</v>
      </c>
      <c r="T25" s="35"/>
      <c r="U25" s="40">
        <f t="shared" si="0"/>
        <v>0</v>
      </c>
    </row>
    <row r="26" spans="1:21" s="3" customFormat="1" ht="25.4" hidden="1" customHeight="1">
      <c r="A26" s="3" t="s">
        <v>706</v>
      </c>
      <c r="B26" s="3" t="s">
        <v>35</v>
      </c>
      <c r="D26" s="26" t="s">
        <v>707</v>
      </c>
      <c r="E26" s="121"/>
      <c r="F26" s="121"/>
      <c r="G26" s="121"/>
      <c r="H26" s="121"/>
      <c r="I26" s="121"/>
      <c r="J26" s="121"/>
      <c r="K26" s="124"/>
      <c r="L26" s="124"/>
      <c r="M26" s="27"/>
      <c r="N26" s="27"/>
      <c r="O26" s="27"/>
      <c r="P26" s="27"/>
      <c r="Q26" s="61">
        <f t="shared" si="1"/>
        <v>0</v>
      </c>
      <c r="T26" s="35"/>
      <c r="U26" s="40">
        <f t="shared" si="0"/>
        <v>0</v>
      </c>
    </row>
    <row r="27" spans="1:21" s="3" customFormat="1" ht="25.4" customHeight="1">
      <c r="D27" s="26" t="s">
        <v>708</v>
      </c>
      <c r="E27" s="45">
        <f>SUM(E12:E26)</f>
        <v>17600</v>
      </c>
      <c r="F27" s="45">
        <f t="shared" ref="F27:P27" si="2">SUM(F12:F26)</f>
        <v>24500</v>
      </c>
      <c r="G27" s="45">
        <f t="shared" si="2"/>
        <v>29100</v>
      </c>
      <c r="H27" s="45">
        <f t="shared" si="2"/>
        <v>35100</v>
      </c>
      <c r="I27" s="45">
        <f t="shared" si="2"/>
        <v>43000</v>
      </c>
      <c r="J27" s="45">
        <f t="shared" si="2"/>
        <v>47100</v>
      </c>
      <c r="K27" s="45">
        <f t="shared" si="2"/>
        <v>54500</v>
      </c>
      <c r="L27" s="45">
        <f t="shared" si="2"/>
        <v>48500</v>
      </c>
      <c r="M27" s="45">
        <f t="shared" si="2"/>
        <v>59100</v>
      </c>
      <c r="N27" s="45">
        <f t="shared" si="2"/>
        <v>67000</v>
      </c>
      <c r="O27" s="45">
        <f t="shared" si="2"/>
        <v>78500</v>
      </c>
      <c r="P27" s="45">
        <f t="shared" si="2"/>
        <v>77100</v>
      </c>
      <c r="Q27" s="45">
        <f>SUM(Q13:Q26)</f>
        <v>581100</v>
      </c>
      <c r="T27" s="35"/>
      <c r="U27" s="40" t="e">
        <f t="shared" si="0"/>
        <v>#DIV/0!</v>
      </c>
    </row>
    <row r="28" spans="1:21" s="3" customFormat="1" ht="25.4" customHeight="1">
      <c r="D28" s="26"/>
      <c r="E28" s="43"/>
      <c r="F28" s="122"/>
      <c r="G28" s="43"/>
      <c r="H28" s="122"/>
      <c r="I28" s="43"/>
      <c r="J28" s="122"/>
      <c r="K28" s="43"/>
      <c r="L28" s="122"/>
      <c r="M28" s="43"/>
      <c r="N28" s="122"/>
      <c r="T28" s="35"/>
      <c r="U28" s="40"/>
    </row>
    <row r="29" spans="1:21" s="3" customFormat="1" ht="25.4" customHeight="1">
      <c r="D29" s="21" t="s">
        <v>709</v>
      </c>
      <c r="E29" s="24"/>
      <c r="F29" s="123"/>
      <c r="G29" s="24"/>
      <c r="H29" s="123"/>
      <c r="I29" s="24"/>
      <c r="J29" s="123"/>
      <c r="K29" s="25"/>
      <c r="L29" s="127"/>
      <c r="M29" s="25"/>
      <c r="N29" s="123"/>
      <c r="T29" s="35"/>
      <c r="U29" s="40"/>
    </row>
    <row r="30" spans="1:21" s="3" customFormat="1" ht="25.4" customHeight="1">
      <c r="A30" s="3" t="s">
        <v>710</v>
      </c>
      <c r="B30" s="3" t="s">
        <v>666</v>
      </c>
      <c r="D30" s="3" t="s">
        <v>667</v>
      </c>
      <c r="E30" s="43"/>
      <c r="F30" s="124"/>
      <c r="G30" s="43"/>
      <c r="H30" s="124"/>
      <c r="I30" s="43"/>
      <c r="J30" s="124"/>
      <c r="K30" s="43"/>
      <c r="L30" s="124"/>
      <c r="M30" s="43"/>
      <c r="N30" s="124"/>
      <c r="O30" s="61"/>
      <c r="P30" s="61"/>
      <c r="Q30" s="61">
        <f>SUM(E30:P30)</f>
        <v>0</v>
      </c>
      <c r="T30" s="35"/>
      <c r="U30" s="40">
        <f t="shared" ref="U30:U45" si="3">-IF(Q30-T30=0,0,(Q30-T30)/T30)</f>
        <v>0</v>
      </c>
    </row>
    <row r="31" spans="1:21" s="3" customFormat="1" ht="25.4" customHeight="1">
      <c r="A31" s="3" t="s">
        <v>710</v>
      </c>
      <c r="B31" s="3" t="s">
        <v>669</v>
      </c>
      <c r="D31" s="26" t="s">
        <v>670</v>
      </c>
      <c r="E31" s="63">
        <f>'Health Club'!E47+'Health Club'!E120</f>
        <v>19484.400000000001</v>
      </c>
      <c r="F31" s="63">
        <f>'Health Club'!F47+'Health Club'!F120</f>
        <v>9371.27</v>
      </c>
      <c r="G31" s="63">
        <f>'Health Club'!G47+'Health Club'!G120</f>
        <v>9311.69</v>
      </c>
      <c r="H31" s="63">
        <f>'Health Club'!H47+'Health Club'!H120</f>
        <v>9637.6</v>
      </c>
      <c r="I31" s="63">
        <f>'Health Club'!I47+'Health Club'!I120</f>
        <v>15628.22</v>
      </c>
      <c r="J31" s="63">
        <f>'Health Club'!J47+'Health Club'!J120</f>
        <v>10888.55</v>
      </c>
      <c r="K31" s="63">
        <f>'Health Club'!K47+'Health Club'!K120</f>
        <v>10809.97</v>
      </c>
      <c r="L31" s="63">
        <f>'Health Club'!L47+'Health Club'!L120</f>
        <v>12119.57</v>
      </c>
      <c r="M31" s="63">
        <f>'Health Club'!M47+'Health Club'!M120</f>
        <v>15875.49</v>
      </c>
      <c r="N31" s="63">
        <f>'Health Club'!N47+'Health Club'!N120</f>
        <v>11865.470000000001</v>
      </c>
      <c r="O31" s="63">
        <f>'Health Club'!O47+'Health Club'!O120</f>
        <v>10080.39</v>
      </c>
      <c r="P31" s="63">
        <f>'Health Club'!P47+'Health Club'!P120</f>
        <v>16059.6</v>
      </c>
      <c r="Q31" s="61">
        <f>SUM(E31:P31)</f>
        <v>151132.22</v>
      </c>
      <c r="R31" s="39">
        <f>IF(Q13=0,0,Q31/Q13)</f>
        <v>0.30130027910685808</v>
      </c>
      <c r="S31" s="39"/>
      <c r="T31" s="35"/>
      <c r="U31" s="40" t="e">
        <f t="shared" si="3"/>
        <v>#DIV/0!</v>
      </c>
    </row>
    <row r="32" spans="1:21" s="3" customFormat="1" ht="25.4" hidden="1" customHeight="1">
      <c r="A32" s="3" t="s">
        <v>710</v>
      </c>
      <c r="B32" s="3" t="s">
        <v>672</v>
      </c>
      <c r="D32" s="26" t="s">
        <v>673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1">
        <f t="shared" ref="Q32:Q38" si="4">SUM(E32:P32)</f>
        <v>0</v>
      </c>
      <c r="R32" s="39">
        <f t="shared" ref="R32:R44" si="5">IF(Q14=0,0,Q32/Q14)</f>
        <v>0</v>
      </c>
      <c r="T32" s="35"/>
      <c r="U32" s="40">
        <f t="shared" si="3"/>
        <v>0</v>
      </c>
    </row>
    <row r="33" spans="1:21" s="3" customFormat="1" ht="25.4" hidden="1" customHeight="1">
      <c r="A33" s="3" t="s">
        <v>710</v>
      </c>
      <c r="B33" s="3" t="s">
        <v>675</v>
      </c>
      <c r="D33" s="26" t="s">
        <v>676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1">
        <f t="shared" si="4"/>
        <v>0</v>
      </c>
      <c r="R33" s="39">
        <f t="shared" si="5"/>
        <v>0</v>
      </c>
      <c r="T33" s="35"/>
      <c r="U33" s="40">
        <f t="shared" si="3"/>
        <v>0</v>
      </c>
    </row>
    <row r="34" spans="1:21" s="3" customFormat="1" ht="25.4" hidden="1" customHeight="1">
      <c r="A34" s="3" t="s">
        <v>710</v>
      </c>
      <c r="B34" s="3" t="s">
        <v>678</v>
      </c>
      <c r="D34" s="72" t="s">
        <v>679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1">
        <f t="shared" si="4"/>
        <v>0</v>
      </c>
      <c r="R34" s="39">
        <f t="shared" si="5"/>
        <v>0</v>
      </c>
      <c r="T34" s="35"/>
      <c r="U34" s="40">
        <f t="shared" si="3"/>
        <v>0</v>
      </c>
    </row>
    <row r="35" spans="1:21" s="3" customFormat="1" ht="25.4" hidden="1" customHeight="1">
      <c r="A35" s="3" t="s">
        <v>710</v>
      </c>
      <c r="B35" s="3" t="s">
        <v>681</v>
      </c>
      <c r="D35" s="26" t="s">
        <v>682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1">
        <f t="shared" si="4"/>
        <v>0</v>
      </c>
      <c r="R35" s="39">
        <f t="shared" si="5"/>
        <v>0</v>
      </c>
      <c r="T35" s="35"/>
      <c r="U35" s="40">
        <f t="shared" si="3"/>
        <v>0</v>
      </c>
    </row>
    <row r="36" spans="1:21" s="3" customFormat="1" ht="25.4" customHeight="1">
      <c r="A36" s="3" t="s">
        <v>710</v>
      </c>
      <c r="B36" s="3" t="s">
        <v>684</v>
      </c>
      <c r="D36" s="26" t="s">
        <v>685</v>
      </c>
      <c r="E36" s="63">
        <f>BC!E113+BC!E40</f>
        <v>0</v>
      </c>
      <c r="F36" s="63">
        <f>BC!F113+BC!F40</f>
        <v>0</v>
      </c>
      <c r="G36" s="63">
        <f>BC!G113+BC!G40</f>
        <v>0</v>
      </c>
      <c r="H36" s="63">
        <f>BC!H113+BC!H40</f>
        <v>0</v>
      </c>
      <c r="I36" s="63">
        <f>BC!I113+BC!I40</f>
        <v>0</v>
      </c>
      <c r="J36" s="63">
        <f>BC!J113+BC!J40</f>
        <v>0</v>
      </c>
      <c r="K36" s="63">
        <f>BC!K113+BC!K40</f>
        <v>0</v>
      </c>
      <c r="L36" s="63">
        <f>BC!L113+BC!L40</f>
        <v>0</v>
      </c>
      <c r="M36" s="63">
        <f>BC!M113+BC!M40</f>
        <v>0</v>
      </c>
      <c r="N36" s="63">
        <f>BC!N113+BC!N40</f>
        <v>0</v>
      </c>
      <c r="O36" s="63">
        <f>BC!O113+BC!O40</f>
        <v>0</v>
      </c>
      <c r="P36" s="63">
        <f>BC!P113+BC!P40</f>
        <v>0</v>
      </c>
      <c r="Q36" s="61">
        <f t="shared" si="4"/>
        <v>0</v>
      </c>
      <c r="R36" s="39">
        <f t="shared" si="5"/>
        <v>0</v>
      </c>
      <c r="S36" s="39"/>
      <c r="T36" s="35"/>
      <c r="U36" s="40">
        <f t="shared" si="3"/>
        <v>0</v>
      </c>
    </row>
    <row r="37" spans="1:21" s="3" customFormat="1" ht="25.4" customHeight="1">
      <c r="A37" s="3" t="s">
        <v>710</v>
      </c>
      <c r="B37" s="3" t="s">
        <v>687</v>
      </c>
      <c r="D37" s="26" t="s">
        <v>688</v>
      </c>
      <c r="E37" s="63">
        <f>Telephone!E25+Telephone!E98</f>
        <v>0</v>
      </c>
      <c r="F37" s="63">
        <f>Telephone!F25+Telephone!F98</f>
        <v>0</v>
      </c>
      <c r="G37" s="63">
        <f>Telephone!G25+Telephone!G98</f>
        <v>0</v>
      </c>
      <c r="H37" s="63">
        <f>Telephone!H25+Telephone!H98</f>
        <v>0</v>
      </c>
      <c r="I37" s="63">
        <f>Telephone!I25+Telephone!I98</f>
        <v>0</v>
      </c>
      <c r="J37" s="63">
        <f>Telephone!J25+Telephone!J98</f>
        <v>0</v>
      </c>
      <c r="K37" s="63">
        <f>Telephone!K25+Telephone!K98</f>
        <v>0</v>
      </c>
      <c r="L37" s="63">
        <f>Telephone!L25+Telephone!L98</f>
        <v>0</v>
      </c>
      <c r="M37" s="63">
        <f>Telephone!M25+Telephone!M98</f>
        <v>0</v>
      </c>
      <c r="N37" s="63">
        <f>Telephone!N25+Telephone!N98</f>
        <v>0</v>
      </c>
      <c r="O37" s="63">
        <f>Telephone!O25+Telephone!O98</f>
        <v>0</v>
      </c>
      <c r="P37" s="63">
        <f>Telephone!P25+Telephone!P98</f>
        <v>0</v>
      </c>
      <c r="Q37" s="61">
        <f t="shared" si="4"/>
        <v>0</v>
      </c>
      <c r="R37" s="39">
        <f t="shared" si="5"/>
        <v>0</v>
      </c>
      <c r="S37" s="39"/>
      <c r="T37" s="35"/>
      <c r="U37" s="40">
        <f t="shared" si="3"/>
        <v>0</v>
      </c>
    </row>
    <row r="38" spans="1:21" s="3" customFormat="1" ht="25.4" customHeight="1">
      <c r="A38" s="3" t="s">
        <v>710</v>
      </c>
      <c r="B38" s="3" t="s">
        <v>690</v>
      </c>
      <c r="D38" s="26" t="s">
        <v>691</v>
      </c>
      <c r="E38" s="63">
        <f>Transportation!E21+Transportation!E94</f>
        <v>1712</v>
      </c>
      <c r="F38" s="63">
        <f>Transportation!F21+Transportation!F94</f>
        <v>2012</v>
      </c>
      <c r="G38" s="63">
        <f>Transportation!G21+Transportation!G94</f>
        <v>1712</v>
      </c>
      <c r="H38" s="63">
        <f>Transportation!H21+Transportation!H94</f>
        <v>1712</v>
      </c>
      <c r="I38" s="63">
        <f>Transportation!I21+Transportation!I94</f>
        <v>2012</v>
      </c>
      <c r="J38" s="63">
        <f>Transportation!J21+Transportation!J94</f>
        <v>1712</v>
      </c>
      <c r="K38" s="63">
        <f>Transportation!K21+Transportation!K94</f>
        <v>2012</v>
      </c>
      <c r="L38" s="63">
        <f>Transportation!L21+Transportation!L94</f>
        <v>2012</v>
      </c>
      <c r="M38" s="63">
        <f>Transportation!M21+Transportation!M94</f>
        <v>1712</v>
      </c>
      <c r="N38" s="63">
        <f>Transportation!N21+Transportation!N94</f>
        <v>2012</v>
      </c>
      <c r="O38" s="63">
        <f>Transportation!O21+Transportation!O94</f>
        <v>2012</v>
      </c>
      <c r="P38" s="63">
        <f>Transportation!P21+Transportation!P94</f>
        <v>1712</v>
      </c>
      <c r="Q38" s="61">
        <f t="shared" si="4"/>
        <v>22344</v>
      </c>
      <c r="R38" s="39">
        <f t="shared" si="5"/>
        <v>0.74480000000000002</v>
      </c>
      <c r="S38" s="39"/>
      <c r="T38" s="35"/>
      <c r="U38" s="40" t="e">
        <f t="shared" si="3"/>
        <v>#DIV/0!</v>
      </c>
    </row>
    <row r="39" spans="1:21" s="3" customFormat="1" ht="25.4" hidden="1" customHeight="1">
      <c r="A39" s="3" t="s">
        <v>710</v>
      </c>
      <c r="B39" s="3" t="s">
        <v>693</v>
      </c>
      <c r="D39" s="26" t="s">
        <v>694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1">
        <f t="shared" ref="Q39:Q44" si="6">SUM(E39:P39)</f>
        <v>0</v>
      </c>
      <c r="R39" s="39">
        <f t="shared" si="5"/>
        <v>0</v>
      </c>
      <c r="S39" s="39"/>
      <c r="T39" s="35"/>
      <c r="U39" s="40">
        <f t="shared" si="3"/>
        <v>0</v>
      </c>
    </row>
    <row r="40" spans="1:21" s="3" customFormat="1" ht="25.4" customHeight="1">
      <c r="A40" s="3" t="s">
        <v>710</v>
      </c>
      <c r="B40" s="3" t="s">
        <v>696</v>
      </c>
      <c r="D40" s="26" t="s">
        <v>697</v>
      </c>
      <c r="E40" s="63">
        <f>'DYT Galleria'!E18+'DYT Galleria'!E91</f>
        <v>0</v>
      </c>
      <c r="F40" s="63">
        <f>'DYT Galleria'!F18+'DYT Galleria'!F91</f>
        <v>0</v>
      </c>
      <c r="G40" s="63">
        <f>'DYT Galleria'!G18+'DYT Galleria'!G91</f>
        <v>0</v>
      </c>
      <c r="H40" s="63">
        <f>'DYT Galleria'!H18+'DYT Galleria'!H91</f>
        <v>0</v>
      </c>
      <c r="I40" s="63">
        <f>'DYT Galleria'!I18+'DYT Galleria'!I91</f>
        <v>0</v>
      </c>
      <c r="J40" s="63">
        <f>'DYT Galleria'!J18+'DYT Galleria'!J91</f>
        <v>0</v>
      </c>
      <c r="K40" s="63">
        <f>'DYT Galleria'!K18+'DYT Galleria'!K91</f>
        <v>0</v>
      </c>
      <c r="L40" s="63">
        <f>'DYT Galleria'!L18+'DYT Galleria'!L91</f>
        <v>0</v>
      </c>
      <c r="M40" s="63">
        <f>'DYT Galleria'!M18+'DYT Galleria'!M91</f>
        <v>0</v>
      </c>
      <c r="N40" s="63">
        <f>'DYT Galleria'!N18+'DYT Galleria'!N91</f>
        <v>0</v>
      </c>
      <c r="O40" s="63">
        <f>'DYT Galleria'!O18+'DYT Galleria'!O91</f>
        <v>0</v>
      </c>
      <c r="P40" s="63">
        <f>'DYT Galleria'!P18+'DYT Galleria'!P91</f>
        <v>0</v>
      </c>
      <c r="Q40" s="61">
        <f t="shared" si="6"/>
        <v>0</v>
      </c>
      <c r="R40" s="39">
        <f t="shared" si="5"/>
        <v>0</v>
      </c>
      <c r="S40" s="39"/>
      <c r="T40" s="35"/>
      <c r="U40" s="40">
        <f t="shared" si="3"/>
        <v>0</v>
      </c>
    </row>
    <row r="41" spans="1:21" s="3" customFormat="1" ht="25.4" hidden="1" customHeight="1">
      <c r="A41" s="3" t="s">
        <v>710</v>
      </c>
      <c r="B41" s="3" t="s">
        <v>698</v>
      </c>
      <c r="D41" s="26" t="s">
        <v>699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1">
        <f t="shared" si="6"/>
        <v>0</v>
      </c>
      <c r="R41" s="39">
        <f t="shared" si="5"/>
        <v>0</v>
      </c>
      <c r="S41" s="39"/>
      <c r="T41" s="35"/>
      <c r="U41" s="40">
        <f t="shared" si="3"/>
        <v>0</v>
      </c>
    </row>
    <row r="42" spans="1:21" s="3" customFormat="1" ht="25.4" customHeight="1">
      <c r="A42" s="3" t="s">
        <v>710</v>
      </c>
      <c r="B42" s="3" t="s">
        <v>701</v>
      </c>
      <c r="D42" s="26" t="s">
        <v>702</v>
      </c>
      <c r="E42" s="63">
        <f>'Guest Laundry'!E27+'Guest Laundry'!E100</f>
        <v>1800</v>
      </c>
      <c r="F42" s="63">
        <f>'Guest Laundry'!F27+'Guest Laundry'!F100</f>
        <v>1600</v>
      </c>
      <c r="G42" s="63">
        <f>'Guest Laundry'!G27+'Guest Laundry'!G100</f>
        <v>1600</v>
      </c>
      <c r="H42" s="63">
        <f>'Guest Laundry'!H27+'Guest Laundry'!H100</f>
        <v>1600</v>
      </c>
      <c r="I42" s="63">
        <f>'Guest Laundry'!I27+'Guest Laundry'!I100</f>
        <v>1800</v>
      </c>
      <c r="J42" s="63">
        <f>'Guest Laundry'!J27+'Guest Laundry'!J100</f>
        <v>1600</v>
      </c>
      <c r="K42" s="63">
        <f>'Guest Laundry'!K27+'Guest Laundry'!K100</f>
        <v>1600</v>
      </c>
      <c r="L42" s="63">
        <f>'Guest Laundry'!L27+'Guest Laundry'!L100</f>
        <v>1600</v>
      </c>
      <c r="M42" s="63">
        <f>'Guest Laundry'!M27+'Guest Laundry'!M100</f>
        <v>1600</v>
      </c>
      <c r="N42" s="63">
        <f>'Guest Laundry'!N27+'Guest Laundry'!N100</f>
        <v>1800</v>
      </c>
      <c r="O42" s="63">
        <f>'Guest Laundry'!O27+'Guest Laundry'!O100</f>
        <v>1600</v>
      </c>
      <c r="P42" s="63">
        <f>'Guest Laundry'!P27+'Guest Laundry'!P100</f>
        <v>1600</v>
      </c>
      <c r="Q42" s="61">
        <f t="shared" si="6"/>
        <v>19800</v>
      </c>
      <c r="R42" s="39">
        <f t="shared" si="5"/>
        <v>0.4</v>
      </c>
      <c r="S42" s="39"/>
      <c r="T42" s="35"/>
      <c r="U42" s="40" t="e">
        <f t="shared" si="3"/>
        <v>#DIV/0!</v>
      </c>
    </row>
    <row r="43" spans="1:21" s="3" customFormat="1" ht="25.4" customHeight="1">
      <c r="A43" s="3" t="s">
        <v>710</v>
      </c>
      <c r="B43" s="3" t="s">
        <v>704</v>
      </c>
      <c r="D43" s="26" t="s">
        <v>705</v>
      </c>
      <c r="E43" s="63">
        <f>Apartment!E106</f>
        <v>0</v>
      </c>
      <c r="F43" s="63">
        <f>Apartment!F106</f>
        <v>0</v>
      </c>
      <c r="G43" s="63">
        <f>Apartment!G106</f>
        <v>0</v>
      </c>
      <c r="H43" s="63">
        <f>Apartment!H106</f>
        <v>0</v>
      </c>
      <c r="I43" s="63">
        <f>Apartment!I106</f>
        <v>0</v>
      </c>
      <c r="J43" s="63">
        <f>Apartment!J106</f>
        <v>0</v>
      </c>
      <c r="K43" s="63">
        <f>Apartment!K106</f>
        <v>0</v>
      </c>
      <c r="L43" s="63">
        <f>Apartment!L106</f>
        <v>0</v>
      </c>
      <c r="M43" s="63">
        <f>Apartment!M106</f>
        <v>0</v>
      </c>
      <c r="N43" s="63">
        <f>Apartment!N106</f>
        <v>0</v>
      </c>
      <c r="O43" s="63">
        <f>Apartment!O106</f>
        <v>0</v>
      </c>
      <c r="P43" s="63">
        <f>Apartment!P106</f>
        <v>0</v>
      </c>
      <c r="Q43" s="61">
        <f t="shared" si="6"/>
        <v>0</v>
      </c>
      <c r="R43" s="39">
        <f t="shared" si="5"/>
        <v>0</v>
      </c>
      <c r="S43" s="39"/>
      <c r="T43" s="35"/>
      <c r="U43" s="40">
        <f t="shared" si="3"/>
        <v>0</v>
      </c>
    </row>
    <row r="44" spans="1:21" s="3" customFormat="1" ht="25.4" hidden="1" customHeight="1">
      <c r="A44" s="3" t="s">
        <v>710</v>
      </c>
      <c r="B44" s="3" t="s">
        <v>35</v>
      </c>
      <c r="D44" s="26" t="s">
        <v>707</v>
      </c>
      <c r="E44" s="63"/>
      <c r="F44" s="124">
        <v>0</v>
      </c>
      <c r="G44" s="63">
        <v>0</v>
      </c>
      <c r="H44" s="124">
        <v>0</v>
      </c>
      <c r="I44" s="63">
        <v>0</v>
      </c>
      <c r="J44" s="124">
        <v>0</v>
      </c>
      <c r="K44" s="63">
        <v>0</v>
      </c>
      <c r="L44" s="124">
        <v>0</v>
      </c>
      <c r="M44" s="27">
        <v>0</v>
      </c>
      <c r="N44" s="27">
        <v>0</v>
      </c>
      <c r="O44" s="27">
        <v>0</v>
      </c>
      <c r="P44" s="27">
        <v>0</v>
      </c>
      <c r="Q44" s="61">
        <f t="shared" si="6"/>
        <v>0</v>
      </c>
      <c r="R44" s="39">
        <f t="shared" si="5"/>
        <v>0</v>
      </c>
      <c r="S44" s="39"/>
      <c r="T44" s="35"/>
      <c r="U44" s="40">
        <f t="shared" si="3"/>
        <v>0</v>
      </c>
    </row>
    <row r="45" spans="1:21" s="3" customFormat="1" ht="25.4" customHeight="1">
      <c r="D45" s="26" t="s">
        <v>711</v>
      </c>
      <c r="E45" s="45">
        <f>SUM(E30:E44)</f>
        <v>22996.400000000001</v>
      </c>
      <c r="F45" s="45">
        <f t="shared" ref="F45:P45" si="7">SUM(F30:F44)</f>
        <v>12983.27</v>
      </c>
      <c r="G45" s="45">
        <f t="shared" si="7"/>
        <v>12623.69</v>
      </c>
      <c r="H45" s="45">
        <f t="shared" si="7"/>
        <v>12949.6</v>
      </c>
      <c r="I45" s="45">
        <f t="shared" si="7"/>
        <v>19440.22</v>
      </c>
      <c r="J45" s="45">
        <f t="shared" si="7"/>
        <v>14200.55</v>
      </c>
      <c r="K45" s="45">
        <f t="shared" si="7"/>
        <v>14421.97</v>
      </c>
      <c r="L45" s="45">
        <f t="shared" si="7"/>
        <v>15731.57</v>
      </c>
      <c r="M45" s="45">
        <f t="shared" si="7"/>
        <v>19187.489999999998</v>
      </c>
      <c r="N45" s="45">
        <f t="shared" si="7"/>
        <v>15677.470000000001</v>
      </c>
      <c r="O45" s="45">
        <f t="shared" si="7"/>
        <v>13692.39</v>
      </c>
      <c r="P45" s="45">
        <f t="shared" si="7"/>
        <v>19371.599999999999</v>
      </c>
      <c r="Q45" s="45">
        <f>SUM(Q31:Q44)</f>
        <v>193276.22</v>
      </c>
      <c r="R45" s="39">
        <f t="shared" ref="R45" si="8">Q45/Q27</f>
        <v>0.33260406126312164</v>
      </c>
      <c r="S45" s="39"/>
      <c r="T45" s="35"/>
      <c r="U45" s="40" t="e">
        <f t="shared" si="3"/>
        <v>#DIV/0!</v>
      </c>
    </row>
    <row r="46" spans="1:21" s="3" customFormat="1" ht="25.4" customHeight="1">
      <c r="D46" s="26"/>
      <c r="E46" s="62"/>
      <c r="F46" s="125"/>
      <c r="G46" s="62"/>
      <c r="H46" s="125"/>
      <c r="I46" s="62"/>
      <c r="J46" s="125"/>
      <c r="K46" s="62"/>
      <c r="L46" s="128"/>
      <c r="M46" s="62"/>
      <c r="N46" s="128"/>
      <c r="O46" s="19"/>
      <c r="P46" s="19"/>
      <c r="Q46" s="19"/>
      <c r="T46" s="35"/>
      <c r="U46" s="40"/>
    </row>
    <row r="47" spans="1:21" s="19" customFormat="1" ht="25.4" customHeight="1">
      <c r="D47" s="21" t="s">
        <v>712</v>
      </c>
      <c r="E47" s="62"/>
      <c r="F47" s="125"/>
      <c r="G47" s="62"/>
      <c r="H47" s="125"/>
      <c r="I47" s="62"/>
      <c r="J47" s="125"/>
      <c r="K47" s="62"/>
      <c r="L47" s="128"/>
      <c r="M47" s="62"/>
      <c r="N47" s="128"/>
      <c r="T47" s="35"/>
      <c r="U47" s="40"/>
    </row>
    <row r="48" spans="1:21" s="19" customFormat="1" ht="25.4" customHeight="1">
      <c r="D48" s="3" t="s">
        <v>667</v>
      </c>
      <c r="E48" s="63">
        <f>+E12-E30</f>
        <v>0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f>+M12-M30</f>
        <v>0</v>
      </c>
      <c r="N48" s="63">
        <f>+N12-N30</f>
        <v>0</v>
      </c>
      <c r="O48" s="63">
        <f>+O12-O30</f>
        <v>0</v>
      </c>
      <c r="P48" s="63">
        <f>+P12-P30</f>
        <v>0</v>
      </c>
      <c r="Q48" s="63">
        <f t="shared" ref="Q48" si="9">+Q12-Q30</f>
        <v>0</v>
      </c>
      <c r="R48" s="39">
        <f>IF(Q12=0,0,Q48/Q12)</f>
        <v>0</v>
      </c>
      <c r="S48" s="3"/>
      <c r="T48" s="35"/>
      <c r="U48" s="40">
        <f t="shared" ref="U48:U64" si="10">IF(Q48-T48=0,0,(Q48-T48)/T48)</f>
        <v>0</v>
      </c>
    </row>
    <row r="49" spans="4:21" s="19" customFormat="1" ht="25.4" customHeight="1">
      <c r="D49" s="26" t="s">
        <v>670</v>
      </c>
      <c r="E49" s="63">
        <f>'Health Club'!E121</f>
        <v>-84912.110000000015</v>
      </c>
      <c r="F49" s="63">
        <f>'Health Club'!F121</f>
        <v>-68188.350000000006</v>
      </c>
      <c r="G49" s="63">
        <f>'Health Club'!G121</f>
        <v>-62656.679999999993</v>
      </c>
      <c r="H49" s="63">
        <f>'Health Club'!H121</f>
        <v>-67453.909999999989</v>
      </c>
      <c r="I49" s="63">
        <f>'Health Club'!I121</f>
        <v>-88400.22</v>
      </c>
      <c r="J49" s="63">
        <f>'Health Club'!J121</f>
        <v>-70930.34</v>
      </c>
      <c r="K49" s="63">
        <f>'Health Club'!K121</f>
        <v>-64706.41</v>
      </c>
      <c r="L49" s="63">
        <f>'Health Club'!L121</f>
        <v>-72037.489999999991</v>
      </c>
      <c r="M49" s="63">
        <f>'Health Club'!M121</f>
        <v>-63821.9</v>
      </c>
      <c r="N49" s="63">
        <f>'Health Club'!N121</f>
        <v>-68925.59</v>
      </c>
      <c r="O49" s="63">
        <f>'Health Club'!O121</f>
        <v>-14834.119999999995</v>
      </c>
      <c r="P49" s="63">
        <f>'Health Club'!P121</f>
        <v>-20775.529999999992</v>
      </c>
      <c r="Q49" s="63">
        <f>SUM(E49:P49)</f>
        <v>-747642.65</v>
      </c>
      <c r="R49" s="39">
        <f t="shared" ref="R49:R62" si="11">IF(Q13=0,0,Q49/Q13)</f>
        <v>-1.4905156499202552</v>
      </c>
      <c r="S49" s="39"/>
      <c r="T49" s="35"/>
      <c r="U49" s="40" t="e">
        <f t="shared" si="10"/>
        <v>#DIV/0!</v>
      </c>
    </row>
    <row r="50" spans="4:21" s="19" customFormat="1" ht="25.4" hidden="1" customHeight="1">
      <c r="D50" s="26" t="s">
        <v>673</v>
      </c>
      <c r="E50" s="63">
        <f t="shared" ref="E50:E62" si="12">+E14-E32</f>
        <v>0</v>
      </c>
      <c r="F50" s="63">
        <f t="shared" ref="F50:P50" si="13">+F14-F32</f>
        <v>0</v>
      </c>
      <c r="G50" s="63">
        <f t="shared" si="13"/>
        <v>0</v>
      </c>
      <c r="H50" s="63">
        <f t="shared" si="13"/>
        <v>0</v>
      </c>
      <c r="I50" s="63">
        <f t="shared" si="13"/>
        <v>0</v>
      </c>
      <c r="J50" s="63">
        <f t="shared" si="13"/>
        <v>0</v>
      </c>
      <c r="K50" s="63">
        <f t="shared" si="13"/>
        <v>0</v>
      </c>
      <c r="L50" s="63">
        <f t="shared" si="13"/>
        <v>0</v>
      </c>
      <c r="M50" s="63">
        <f t="shared" si="13"/>
        <v>0</v>
      </c>
      <c r="N50" s="63">
        <f t="shared" si="13"/>
        <v>0</v>
      </c>
      <c r="O50" s="63">
        <f t="shared" si="13"/>
        <v>0</v>
      </c>
      <c r="P50" s="63">
        <f t="shared" si="13"/>
        <v>0</v>
      </c>
      <c r="Q50" s="63">
        <f t="shared" ref="Q50:Q61" si="14">SUM(E50:P50)</f>
        <v>0</v>
      </c>
      <c r="R50" s="39">
        <f t="shared" si="11"/>
        <v>0</v>
      </c>
      <c r="S50" s="39"/>
      <c r="T50" s="35"/>
      <c r="U50" s="40">
        <f t="shared" si="10"/>
        <v>0</v>
      </c>
    </row>
    <row r="51" spans="4:21" s="19" customFormat="1" ht="25.4" hidden="1" customHeight="1">
      <c r="D51" s="26" t="s">
        <v>676</v>
      </c>
      <c r="E51" s="63">
        <f t="shared" si="12"/>
        <v>0</v>
      </c>
      <c r="F51" s="63">
        <f t="shared" ref="F51:P51" si="15">+F15-F33</f>
        <v>0</v>
      </c>
      <c r="G51" s="63">
        <f t="shared" si="15"/>
        <v>0</v>
      </c>
      <c r="H51" s="63">
        <f t="shared" si="15"/>
        <v>0</v>
      </c>
      <c r="I51" s="63">
        <f t="shared" si="15"/>
        <v>0</v>
      </c>
      <c r="J51" s="63">
        <f t="shared" si="15"/>
        <v>0</v>
      </c>
      <c r="K51" s="63">
        <f t="shared" si="15"/>
        <v>0</v>
      </c>
      <c r="L51" s="63">
        <f t="shared" si="15"/>
        <v>0</v>
      </c>
      <c r="M51" s="63">
        <f t="shared" si="15"/>
        <v>0</v>
      </c>
      <c r="N51" s="63">
        <f t="shared" si="15"/>
        <v>0</v>
      </c>
      <c r="O51" s="63">
        <f t="shared" si="15"/>
        <v>0</v>
      </c>
      <c r="P51" s="63">
        <f t="shared" si="15"/>
        <v>0</v>
      </c>
      <c r="Q51" s="63">
        <f t="shared" si="14"/>
        <v>0</v>
      </c>
      <c r="R51" s="39">
        <f t="shared" si="11"/>
        <v>0</v>
      </c>
      <c r="S51" s="39"/>
      <c r="T51" s="35"/>
      <c r="U51" s="40">
        <f t="shared" si="10"/>
        <v>0</v>
      </c>
    </row>
    <row r="52" spans="4:21" s="19" customFormat="1" ht="25.4" hidden="1" customHeight="1">
      <c r="D52" s="72" t="s">
        <v>679</v>
      </c>
      <c r="E52" s="63">
        <f t="shared" si="12"/>
        <v>0</v>
      </c>
      <c r="F52" s="63">
        <f t="shared" ref="F52:P52" si="16">+F16-F34</f>
        <v>0</v>
      </c>
      <c r="G52" s="63">
        <f t="shared" si="16"/>
        <v>0</v>
      </c>
      <c r="H52" s="63">
        <f t="shared" si="16"/>
        <v>0</v>
      </c>
      <c r="I52" s="63">
        <f t="shared" si="16"/>
        <v>0</v>
      </c>
      <c r="J52" s="63">
        <f t="shared" si="16"/>
        <v>0</v>
      </c>
      <c r="K52" s="63">
        <f t="shared" si="16"/>
        <v>0</v>
      </c>
      <c r="L52" s="63">
        <f t="shared" si="16"/>
        <v>0</v>
      </c>
      <c r="M52" s="63">
        <f t="shared" si="16"/>
        <v>0</v>
      </c>
      <c r="N52" s="63">
        <f t="shared" si="16"/>
        <v>0</v>
      </c>
      <c r="O52" s="63">
        <f t="shared" si="16"/>
        <v>0</v>
      </c>
      <c r="P52" s="63">
        <f t="shared" si="16"/>
        <v>0</v>
      </c>
      <c r="Q52" s="63">
        <f t="shared" si="14"/>
        <v>0</v>
      </c>
      <c r="R52" s="39">
        <f t="shared" si="11"/>
        <v>0</v>
      </c>
      <c r="S52" s="39"/>
      <c r="T52" s="35"/>
      <c r="U52" s="40">
        <f t="shared" si="10"/>
        <v>0</v>
      </c>
    </row>
    <row r="53" spans="4:21" s="19" customFormat="1" ht="25.4" hidden="1" customHeight="1">
      <c r="D53" s="26" t="s">
        <v>682</v>
      </c>
      <c r="E53" s="63">
        <f t="shared" si="12"/>
        <v>0</v>
      </c>
      <c r="F53" s="63">
        <f t="shared" ref="F53:P53" si="17">+F17-F35</f>
        <v>0</v>
      </c>
      <c r="G53" s="63">
        <f t="shared" si="17"/>
        <v>0</v>
      </c>
      <c r="H53" s="63">
        <f t="shared" si="17"/>
        <v>0</v>
      </c>
      <c r="I53" s="63">
        <f t="shared" si="17"/>
        <v>0</v>
      </c>
      <c r="J53" s="63">
        <f t="shared" si="17"/>
        <v>0</v>
      </c>
      <c r="K53" s="63">
        <f t="shared" si="17"/>
        <v>0</v>
      </c>
      <c r="L53" s="63">
        <f t="shared" si="17"/>
        <v>0</v>
      </c>
      <c r="M53" s="63">
        <f t="shared" si="17"/>
        <v>0</v>
      </c>
      <c r="N53" s="63">
        <f t="shared" si="17"/>
        <v>0</v>
      </c>
      <c r="O53" s="63">
        <f t="shared" si="17"/>
        <v>0</v>
      </c>
      <c r="P53" s="63">
        <f t="shared" si="17"/>
        <v>0</v>
      </c>
      <c r="Q53" s="63">
        <f t="shared" si="14"/>
        <v>0</v>
      </c>
      <c r="R53" s="39">
        <f t="shared" si="11"/>
        <v>0</v>
      </c>
      <c r="S53" s="39"/>
      <c r="T53" s="35"/>
      <c r="U53" s="40">
        <f t="shared" si="10"/>
        <v>0</v>
      </c>
    </row>
    <row r="54" spans="4:21" s="19" customFormat="1" ht="25.4" customHeight="1">
      <c r="D54" s="26" t="s">
        <v>685</v>
      </c>
      <c r="E54" s="63">
        <f>BC!E114</f>
        <v>0</v>
      </c>
      <c r="F54" s="63">
        <f>BC!F114</f>
        <v>0</v>
      </c>
      <c r="G54" s="63">
        <f>BC!G114</f>
        <v>0</v>
      </c>
      <c r="H54" s="63">
        <f>BC!H114</f>
        <v>0</v>
      </c>
      <c r="I54" s="63">
        <f>BC!I114</f>
        <v>0</v>
      </c>
      <c r="J54" s="63">
        <f>BC!J114</f>
        <v>0</v>
      </c>
      <c r="K54" s="63">
        <f>BC!K114</f>
        <v>0</v>
      </c>
      <c r="L54" s="63">
        <f>BC!L114</f>
        <v>0</v>
      </c>
      <c r="M54" s="63">
        <f>BC!M114</f>
        <v>0</v>
      </c>
      <c r="N54" s="63">
        <f>BC!N114</f>
        <v>0</v>
      </c>
      <c r="O54" s="63">
        <f>BC!O114</f>
        <v>0</v>
      </c>
      <c r="P54" s="63">
        <f>BC!P114</f>
        <v>0</v>
      </c>
      <c r="Q54" s="63">
        <f t="shared" si="14"/>
        <v>0</v>
      </c>
      <c r="R54" s="39">
        <f t="shared" si="11"/>
        <v>0</v>
      </c>
      <c r="S54" s="39"/>
      <c r="T54" s="35"/>
      <c r="U54" s="40">
        <f t="shared" si="10"/>
        <v>0</v>
      </c>
    </row>
    <row r="55" spans="4:21" s="19" customFormat="1" ht="25.4" customHeight="1">
      <c r="D55" s="26" t="s">
        <v>688</v>
      </c>
      <c r="E55" s="63">
        <f>Telephone!E99</f>
        <v>0</v>
      </c>
      <c r="F55" s="63">
        <f>Telephone!F99</f>
        <v>0</v>
      </c>
      <c r="G55" s="63">
        <f>Telephone!G99</f>
        <v>0</v>
      </c>
      <c r="H55" s="63">
        <f>Telephone!H99</f>
        <v>0</v>
      </c>
      <c r="I55" s="63">
        <f>Telephone!I99</f>
        <v>0</v>
      </c>
      <c r="J55" s="63">
        <f>Telephone!J99</f>
        <v>0</v>
      </c>
      <c r="K55" s="63">
        <f>Telephone!K99</f>
        <v>0</v>
      </c>
      <c r="L55" s="63">
        <f>Telephone!L99</f>
        <v>0</v>
      </c>
      <c r="M55" s="63">
        <f>Telephone!M99</f>
        <v>0</v>
      </c>
      <c r="N55" s="63">
        <f>Telephone!N99</f>
        <v>0</v>
      </c>
      <c r="O55" s="63">
        <f>Telephone!O99</f>
        <v>0</v>
      </c>
      <c r="P55" s="63">
        <f>Telephone!P99</f>
        <v>0</v>
      </c>
      <c r="Q55" s="63">
        <f t="shared" si="14"/>
        <v>0</v>
      </c>
      <c r="R55" s="39">
        <f t="shared" si="11"/>
        <v>0</v>
      </c>
      <c r="S55" s="39"/>
      <c r="T55" s="35"/>
      <c r="U55" s="40">
        <f t="shared" si="10"/>
        <v>0</v>
      </c>
    </row>
    <row r="56" spans="4:21" s="19" customFormat="1" ht="25.4" customHeight="1">
      <c r="D56" s="26" t="s">
        <v>691</v>
      </c>
      <c r="E56" s="63">
        <f>Transportation!E95</f>
        <v>88</v>
      </c>
      <c r="F56" s="63">
        <f>Transportation!F95</f>
        <v>1188</v>
      </c>
      <c r="G56" s="63">
        <f>Transportation!G95</f>
        <v>88</v>
      </c>
      <c r="H56" s="63">
        <f>Transportation!H95</f>
        <v>88</v>
      </c>
      <c r="I56" s="63">
        <f>Transportation!I95</f>
        <v>1188</v>
      </c>
      <c r="J56" s="63">
        <f>Transportation!J95</f>
        <v>88</v>
      </c>
      <c r="K56" s="63">
        <f>Transportation!K95</f>
        <v>1188</v>
      </c>
      <c r="L56" s="63">
        <f>Transportation!L95</f>
        <v>1188</v>
      </c>
      <c r="M56" s="63">
        <f>Transportation!M95</f>
        <v>88</v>
      </c>
      <c r="N56" s="63">
        <f>Transportation!N95</f>
        <v>1188</v>
      </c>
      <c r="O56" s="63">
        <f>Transportation!O95</f>
        <v>1188</v>
      </c>
      <c r="P56" s="63">
        <f>Transportation!P95</f>
        <v>88</v>
      </c>
      <c r="Q56" s="63">
        <f t="shared" si="14"/>
        <v>7656</v>
      </c>
      <c r="R56" s="39">
        <f t="shared" si="11"/>
        <v>0.25519999999999998</v>
      </c>
      <c r="S56" s="39"/>
      <c r="T56" s="35"/>
      <c r="U56" s="40" t="e">
        <f t="shared" si="10"/>
        <v>#DIV/0!</v>
      </c>
    </row>
    <row r="57" spans="4:21" s="19" customFormat="1" ht="25.4" customHeight="1">
      <c r="D57" s="26" t="s">
        <v>694</v>
      </c>
      <c r="E57" s="63">
        <f t="shared" si="12"/>
        <v>0</v>
      </c>
      <c r="F57" s="63">
        <f t="shared" ref="F57:P57" si="18">+F21-F39</f>
        <v>0</v>
      </c>
      <c r="G57" s="63">
        <f t="shared" si="18"/>
        <v>0</v>
      </c>
      <c r="H57" s="63">
        <f t="shared" si="18"/>
        <v>0</v>
      </c>
      <c r="I57" s="63">
        <f t="shared" si="18"/>
        <v>0</v>
      </c>
      <c r="J57" s="63">
        <f t="shared" si="18"/>
        <v>0</v>
      </c>
      <c r="K57" s="63">
        <f t="shared" si="18"/>
        <v>0</v>
      </c>
      <c r="L57" s="63">
        <f t="shared" si="18"/>
        <v>0</v>
      </c>
      <c r="M57" s="63">
        <f t="shared" si="18"/>
        <v>0</v>
      </c>
      <c r="N57" s="63">
        <f t="shared" si="18"/>
        <v>0</v>
      </c>
      <c r="O57" s="63">
        <f t="shared" si="18"/>
        <v>0</v>
      </c>
      <c r="P57" s="63">
        <f t="shared" si="18"/>
        <v>0</v>
      </c>
      <c r="Q57" s="63">
        <f t="shared" si="14"/>
        <v>0</v>
      </c>
      <c r="R57" s="39">
        <f t="shared" si="11"/>
        <v>0</v>
      </c>
      <c r="S57" s="39"/>
      <c r="T57" s="35"/>
      <c r="U57" s="40">
        <f t="shared" si="10"/>
        <v>0</v>
      </c>
    </row>
    <row r="58" spans="4:21" s="19" customFormat="1" ht="25.4" customHeight="1">
      <c r="D58" s="26" t="s">
        <v>697</v>
      </c>
      <c r="E58" s="63">
        <f>'DYT Galleria'!E92</f>
        <v>0</v>
      </c>
      <c r="F58" s="63">
        <f>'DYT Galleria'!F92</f>
        <v>0</v>
      </c>
      <c r="G58" s="63">
        <f>'DYT Galleria'!G92</f>
        <v>0</v>
      </c>
      <c r="H58" s="63">
        <f>'DYT Galleria'!H92</f>
        <v>0</v>
      </c>
      <c r="I58" s="63">
        <f>'DYT Galleria'!I92</f>
        <v>0</v>
      </c>
      <c r="J58" s="63">
        <f>'DYT Galleria'!J92</f>
        <v>0</v>
      </c>
      <c r="K58" s="63">
        <f>'DYT Galleria'!K92</f>
        <v>0</v>
      </c>
      <c r="L58" s="63">
        <f>'DYT Galleria'!L92</f>
        <v>0</v>
      </c>
      <c r="M58" s="63">
        <f>'DYT Galleria'!M92</f>
        <v>0</v>
      </c>
      <c r="N58" s="63">
        <f>'DYT Galleria'!N92</f>
        <v>0</v>
      </c>
      <c r="O58" s="63">
        <f>'DYT Galleria'!O92</f>
        <v>0</v>
      </c>
      <c r="P58" s="63">
        <f>'DYT Galleria'!P92</f>
        <v>0</v>
      </c>
      <c r="Q58" s="63">
        <f t="shared" si="14"/>
        <v>0</v>
      </c>
      <c r="R58" s="39">
        <f t="shared" si="11"/>
        <v>0</v>
      </c>
      <c r="S58" s="39"/>
      <c r="T58" s="35"/>
      <c r="U58" s="40">
        <f t="shared" si="10"/>
        <v>0</v>
      </c>
    </row>
    <row r="59" spans="4:21" s="19" customFormat="1" ht="25.4" customHeight="1">
      <c r="D59" s="26" t="s">
        <v>699</v>
      </c>
      <c r="E59" s="63">
        <f t="shared" si="12"/>
        <v>0</v>
      </c>
      <c r="F59" s="63">
        <f t="shared" ref="F59:P59" si="19">+F23-F41</f>
        <v>0</v>
      </c>
      <c r="G59" s="63">
        <f t="shared" si="19"/>
        <v>0</v>
      </c>
      <c r="H59" s="63">
        <f t="shared" si="19"/>
        <v>0</v>
      </c>
      <c r="I59" s="63">
        <f t="shared" si="19"/>
        <v>0</v>
      </c>
      <c r="J59" s="63">
        <f t="shared" si="19"/>
        <v>0</v>
      </c>
      <c r="K59" s="63">
        <f t="shared" si="19"/>
        <v>0</v>
      </c>
      <c r="L59" s="63">
        <f t="shared" si="19"/>
        <v>0</v>
      </c>
      <c r="M59" s="63">
        <f t="shared" si="19"/>
        <v>0</v>
      </c>
      <c r="N59" s="63">
        <f t="shared" si="19"/>
        <v>0</v>
      </c>
      <c r="O59" s="63">
        <f t="shared" si="19"/>
        <v>0</v>
      </c>
      <c r="P59" s="63">
        <f t="shared" si="19"/>
        <v>0</v>
      </c>
      <c r="Q59" s="63">
        <f t="shared" si="14"/>
        <v>0</v>
      </c>
      <c r="R59" s="39">
        <f t="shared" si="11"/>
        <v>0</v>
      </c>
      <c r="S59" s="39"/>
      <c r="T59" s="35"/>
      <c r="U59" s="40">
        <f t="shared" si="10"/>
        <v>0</v>
      </c>
    </row>
    <row r="60" spans="4:21" s="19" customFormat="1" ht="25.4" customHeight="1">
      <c r="D60" s="26" t="s">
        <v>702</v>
      </c>
      <c r="E60" s="63">
        <f>'Guest Laundry'!E101</f>
        <v>2700</v>
      </c>
      <c r="F60" s="63">
        <f>'Guest Laundry'!F101</f>
        <v>2400</v>
      </c>
      <c r="G60" s="63">
        <f>'Guest Laundry'!G101</f>
        <v>2400</v>
      </c>
      <c r="H60" s="63">
        <f>'Guest Laundry'!H101</f>
        <v>2400</v>
      </c>
      <c r="I60" s="63">
        <f>'Guest Laundry'!I101</f>
        <v>2700</v>
      </c>
      <c r="J60" s="63">
        <f>'Guest Laundry'!J101</f>
        <v>2400</v>
      </c>
      <c r="K60" s="63">
        <f>'Guest Laundry'!K101</f>
        <v>2400</v>
      </c>
      <c r="L60" s="63">
        <f>'Guest Laundry'!L101</f>
        <v>2400</v>
      </c>
      <c r="M60" s="63">
        <f>'Guest Laundry'!M101</f>
        <v>2400</v>
      </c>
      <c r="N60" s="63">
        <f>'Guest Laundry'!N101</f>
        <v>2700</v>
      </c>
      <c r="O60" s="63">
        <f>'Guest Laundry'!O101</f>
        <v>2400</v>
      </c>
      <c r="P60" s="63">
        <f>'Guest Laundry'!P101</f>
        <v>2400</v>
      </c>
      <c r="Q60" s="63">
        <f t="shared" si="14"/>
        <v>29700</v>
      </c>
      <c r="R60" s="39">
        <f t="shared" si="11"/>
        <v>0.6</v>
      </c>
      <c r="S60" s="39"/>
      <c r="T60" s="35"/>
      <c r="U60" s="40" t="e">
        <f t="shared" si="10"/>
        <v>#DIV/0!</v>
      </c>
    </row>
    <row r="61" spans="4:21" s="19" customFormat="1" ht="25.4" customHeight="1">
      <c r="D61" s="26" t="s">
        <v>705</v>
      </c>
      <c r="E61" s="63">
        <f>Apartment!E107</f>
        <v>0</v>
      </c>
      <c r="F61" s="63">
        <f>Apartment!F107</f>
        <v>0</v>
      </c>
      <c r="G61" s="63">
        <f>Apartment!G107</f>
        <v>0</v>
      </c>
      <c r="H61" s="63">
        <f>Apartment!H107</f>
        <v>0</v>
      </c>
      <c r="I61" s="63">
        <f>Apartment!I107</f>
        <v>0</v>
      </c>
      <c r="J61" s="63">
        <f>Apartment!J107</f>
        <v>0</v>
      </c>
      <c r="K61" s="63">
        <f>Apartment!K107</f>
        <v>0</v>
      </c>
      <c r="L61" s="63">
        <f>Apartment!L107</f>
        <v>0</v>
      </c>
      <c r="M61" s="63">
        <f>Apartment!M107</f>
        <v>0</v>
      </c>
      <c r="N61" s="63">
        <f>Apartment!N107</f>
        <v>0</v>
      </c>
      <c r="O61" s="63">
        <f>Apartment!O107</f>
        <v>0</v>
      </c>
      <c r="P61" s="63">
        <f>Apartment!P107</f>
        <v>0</v>
      </c>
      <c r="Q61" s="63">
        <f t="shared" si="14"/>
        <v>0</v>
      </c>
      <c r="R61" s="39">
        <f t="shared" si="11"/>
        <v>0</v>
      </c>
      <c r="S61" s="39"/>
      <c r="T61" s="35"/>
      <c r="U61" s="40">
        <f t="shared" si="10"/>
        <v>0</v>
      </c>
    </row>
    <row r="62" spans="4:21" s="19" customFormat="1" ht="25.4" customHeight="1">
      <c r="D62" s="26" t="s">
        <v>707</v>
      </c>
      <c r="E62" s="62">
        <f t="shared" si="12"/>
        <v>0</v>
      </c>
      <c r="F62" s="62">
        <f t="shared" ref="F62:P62" si="20">+F26-F44</f>
        <v>0</v>
      </c>
      <c r="G62" s="62">
        <f t="shared" si="20"/>
        <v>0</v>
      </c>
      <c r="H62" s="62">
        <f t="shared" si="20"/>
        <v>0</v>
      </c>
      <c r="I62" s="62">
        <f t="shared" si="20"/>
        <v>0</v>
      </c>
      <c r="J62" s="62">
        <f t="shared" si="20"/>
        <v>0</v>
      </c>
      <c r="K62" s="62">
        <f t="shared" si="20"/>
        <v>0</v>
      </c>
      <c r="L62" s="62">
        <f t="shared" si="20"/>
        <v>0</v>
      </c>
      <c r="M62" s="62">
        <f t="shared" si="20"/>
        <v>0</v>
      </c>
      <c r="N62" s="62">
        <f t="shared" si="20"/>
        <v>0</v>
      </c>
      <c r="O62" s="62">
        <f t="shared" si="20"/>
        <v>0</v>
      </c>
      <c r="P62" s="62">
        <f t="shared" si="20"/>
        <v>0</v>
      </c>
      <c r="Q62" s="62">
        <f t="shared" ref="Q62" si="21">SUM(E62:P62)</f>
        <v>0</v>
      </c>
      <c r="R62" s="39">
        <f t="shared" si="11"/>
        <v>0</v>
      </c>
      <c r="S62" s="129"/>
      <c r="T62" s="35"/>
      <c r="U62" s="40">
        <f t="shared" si="10"/>
        <v>0</v>
      </c>
    </row>
    <row r="63" spans="4:21" s="19" customFormat="1" ht="25.4" customHeight="1">
      <c r="D63" s="26" t="s">
        <v>713</v>
      </c>
      <c r="E63" s="45">
        <f>SUM(E48:E62)</f>
        <v>-82124.110000000015</v>
      </c>
      <c r="F63" s="45">
        <f t="shared" ref="F63:P63" si="22">SUM(F48:F62)</f>
        <v>-64600.350000000006</v>
      </c>
      <c r="G63" s="45">
        <f t="shared" si="22"/>
        <v>-60168.679999999993</v>
      </c>
      <c r="H63" s="45">
        <f t="shared" si="22"/>
        <v>-64965.909999999989</v>
      </c>
      <c r="I63" s="45">
        <f t="shared" si="22"/>
        <v>-84512.22</v>
      </c>
      <c r="J63" s="45">
        <f t="shared" si="22"/>
        <v>-68442.34</v>
      </c>
      <c r="K63" s="45">
        <f t="shared" si="22"/>
        <v>-61118.41</v>
      </c>
      <c r="L63" s="45">
        <f t="shared" si="22"/>
        <v>-68449.489999999991</v>
      </c>
      <c r="M63" s="45">
        <f t="shared" si="22"/>
        <v>-61333.9</v>
      </c>
      <c r="N63" s="45">
        <f t="shared" si="22"/>
        <v>-65037.59</v>
      </c>
      <c r="O63" s="45">
        <f t="shared" si="22"/>
        <v>-11246.119999999995</v>
      </c>
      <c r="P63" s="45">
        <f t="shared" si="22"/>
        <v>-18287.529999999992</v>
      </c>
      <c r="Q63" s="45">
        <f>SUM(Q49:Q62)</f>
        <v>-710286.65</v>
      </c>
      <c r="R63" s="39">
        <f>Q63/$Q$27</f>
        <v>-1.2223139734985373</v>
      </c>
      <c r="S63" s="39"/>
      <c r="T63" s="35"/>
      <c r="U63" s="40" t="e">
        <f t="shared" si="10"/>
        <v>#DIV/0!</v>
      </c>
    </row>
    <row r="64" spans="4:21" s="19" customFormat="1" ht="25.4" customHeight="1">
      <c r="D64" s="21"/>
      <c r="E64" s="126">
        <f>E63/E27</f>
        <v>-4.6661426136363646</v>
      </c>
      <c r="F64" s="126">
        <f t="shared" ref="F64:Q64" si="23">F63/F27</f>
        <v>-2.6367489795918369</v>
      </c>
      <c r="G64" s="126">
        <f t="shared" si="23"/>
        <v>-2.0676522336769758</v>
      </c>
      <c r="H64" s="126">
        <f t="shared" si="23"/>
        <v>-1.8508806267806264</v>
      </c>
      <c r="I64" s="126">
        <f t="shared" si="23"/>
        <v>-1.9654004651162791</v>
      </c>
      <c r="J64" s="126">
        <f t="shared" si="23"/>
        <v>-1.4531282377919319</v>
      </c>
      <c r="K64" s="126">
        <f t="shared" si="23"/>
        <v>-1.1214387155963303</v>
      </c>
      <c r="L64" s="126">
        <f t="shared" si="23"/>
        <v>-1.4113296907216493</v>
      </c>
      <c r="M64" s="126">
        <f t="shared" si="23"/>
        <v>-1.0377986463620981</v>
      </c>
      <c r="N64" s="126">
        <f t="shared" si="23"/>
        <v>-0.9707102985074626</v>
      </c>
      <c r="O64" s="126">
        <f t="shared" si="23"/>
        <v>-0.1432626751592356</v>
      </c>
      <c r="P64" s="126">
        <f t="shared" si="23"/>
        <v>-0.23719234760051869</v>
      </c>
      <c r="Q64" s="126">
        <f t="shared" si="23"/>
        <v>-1.2223139734985373</v>
      </c>
      <c r="T64" s="108"/>
      <c r="U64" s="40" t="e">
        <f t="shared" si="10"/>
        <v>#DIV/0!</v>
      </c>
    </row>
    <row r="65" spans="1:21" s="3" customFormat="1" ht="25.4" customHeight="1">
      <c r="D65" s="19" t="s">
        <v>295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T65" s="35"/>
      <c r="U65" s="40"/>
    </row>
    <row r="66" spans="1:21" s="3" customFormat="1" ht="25.4" customHeight="1">
      <c r="D66" s="19" t="s">
        <v>431</v>
      </c>
      <c r="E66" s="62"/>
      <c r="F66" s="125"/>
      <c r="G66" s="62"/>
      <c r="H66" s="125"/>
      <c r="I66" s="62"/>
      <c r="J66" s="125"/>
      <c r="K66" s="62"/>
      <c r="L66" s="128"/>
      <c r="M66" s="62"/>
      <c r="N66" s="128"/>
      <c r="T66" s="35"/>
      <c r="U66" s="40"/>
    </row>
    <row r="67" spans="1:21" s="3" customFormat="1" ht="25.4" customHeight="1">
      <c r="A67" s="254" t="s">
        <v>297</v>
      </c>
      <c r="B67" s="51" t="s">
        <v>714</v>
      </c>
      <c r="D67" s="26" t="s">
        <v>299</v>
      </c>
      <c r="E67" s="63">
        <f>'Health Club'!E126+Telephone!E104+'Guest Laundry'!E106+BC!E119+'DYT Galleria'!E97+Apartment!E112+Transportation!E100</f>
        <v>12000</v>
      </c>
      <c r="F67" s="63">
        <f>'Health Club'!F126+Telephone!F104+'Guest Laundry'!F106+BC!F119+'DYT Galleria'!F97+Apartment!F112+Transportation!F100</f>
        <v>12000</v>
      </c>
      <c r="G67" s="63">
        <f>'Health Club'!G126+Telephone!G104+'Guest Laundry'!G106+BC!G119+'DYT Galleria'!G97+Apartment!G112+Transportation!G100</f>
        <v>12000</v>
      </c>
      <c r="H67" s="63">
        <f>'Health Club'!H126+Telephone!H104+'Guest Laundry'!H106+BC!H119+'DYT Galleria'!H97+Apartment!H112+Transportation!H100</f>
        <v>12000</v>
      </c>
      <c r="I67" s="63">
        <f>'Health Club'!I126+Telephone!I104+'Guest Laundry'!I106+BC!I119+'DYT Galleria'!I97+Apartment!I112+Transportation!I100</f>
        <v>12000</v>
      </c>
      <c r="J67" s="63">
        <f>'Health Club'!J126+Telephone!J104+'Guest Laundry'!J106+BC!J119+'DYT Galleria'!J97+Apartment!J112+Transportation!J100</f>
        <v>12000</v>
      </c>
      <c r="K67" s="63">
        <f>'Health Club'!K126+Telephone!K104+'Guest Laundry'!K106+BC!K119+'DYT Galleria'!K97+Apartment!K112+Transportation!K100</f>
        <v>12000</v>
      </c>
      <c r="L67" s="63">
        <f>'Health Club'!L126+Telephone!L104+'Guest Laundry'!L106+BC!L119+'DYT Galleria'!L97+Apartment!L112+Transportation!L100</f>
        <v>12000</v>
      </c>
      <c r="M67" s="63">
        <f>'Health Club'!M126+Telephone!M104+'Guest Laundry'!M106+BC!M119+'DYT Galleria'!M97+Apartment!M112+Transportation!M100</f>
        <v>12000</v>
      </c>
      <c r="N67" s="63">
        <f>'Health Club'!N126+Telephone!N104+'Guest Laundry'!N106+BC!N119+'DYT Galleria'!N97+Apartment!N112+Transportation!N100</f>
        <v>12000</v>
      </c>
      <c r="O67" s="63">
        <f>'Health Club'!O126+Telephone!O104+'Guest Laundry'!O106+BC!O119+'DYT Galleria'!O97+Apartment!O112+Transportation!O100</f>
        <v>12000</v>
      </c>
      <c r="P67" s="63">
        <f>'Health Club'!P126+Telephone!P104+'Guest Laundry'!P106+BC!P119+'DYT Galleria'!P97+Apartment!P112+Transportation!P100</f>
        <v>12000</v>
      </c>
      <c r="Q67" s="61">
        <f>SUM(E67:P67)</f>
        <v>144000</v>
      </c>
      <c r="R67" s="39">
        <f>Q67/$Q$27</f>
        <v>0.24780588538977802</v>
      </c>
      <c r="S67" s="39"/>
      <c r="T67" s="35"/>
      <c r="U67" s="40" t="e">
        <f>-IF(Q67-T67=0,0,(Q67-T67)/T67)</f>
        <v>#DIV/0!</v>
      </c>
    </row>
    <row r="68" spans="1:21" s="3" customFormat="1" ht="25.4" customHeight="1">
      <c r="A68" s="254" t="s">
        <v>300</v>
      </c>
      <c r="B68" s="51" t="s">
        <v>714</v>
      </c>
      <c r="D68" s="26" t="s">
        <v>434</v>
      </c>
      <c r="E68" s="63">
        <f>'Health Club'!E127+Telephone!E105+'Guest Laundry'!E107+BC!E120+'DYT Galleria'!E98+Apartment!E113+Transportation!E101</f>
        <v>25700</v>
      </c>
      <c r="F68" s="63">
        <f>'Health Club'!F127+Telephone!F105+'Guest Laundry'!F107+BC!F120+'DYT Galleria'!F98+Apartment!F113+Transportation!F101</f>
        <v>31100</v>
      </c>
      <c r="G68" s="63">
        <f>'Health Club'!G127+Telephone!G105+'Guest Laundry'!G107+BC!G120+'DYT Galleria'!G98+Apartment!G113+Transportation!G101</f>
        <v>31100</v>
      </c>
      <c r="H68" s="63">
        <f>'Health Club'!H127+Telephone!H105+'Guest Laundry'!H107+BC!H120+'DYT Galleria'!H98+Apartment!H113+Transportation!H101</f>
        <v>31100</v>
      </c>
      <c r="I68" s="63">
        <f>'Health Club'!I127+Telephone!I105+'Guest Laundry'!I107+BC!I120+'DYT Galleria'!I98+Apartment!I113+Transportation!I101</f>
        <v>31100</v>
      </c>
      <c r="J68" s="63">
        <f>'Health Club'!J127+Telephone!J105+'Guest Laundry'!J107+BC!J120+'DYT Galleria'!J98+Apartment!J113+Transportation!J101</f>
        <v>31100</v>
      </c>
      <c r="K68" s="63">
        <f>'Health Club'!K127+Telephone!K105+'Guest Laundry'!K107+BC!K120+'DYT Galleria'!K98+Apartment!K113+Transportation!K101</f>
        <v>31100</v>
      </c>
      <c r="L68" s="63">
        <f>'Health Club'!L127+Telephone!L105+'Guest Laundry'!L107+BC!L120+'DYT Galleria'!L98+Apartment!L113+Transportation!L101</f>
        <v>31100</v>
      </c>
      <c r="M68" s="63">
        <f>'Health Club'!M127+Telephone!M105+'Guest Laundry'!M107+BC!M120+'DYT Galleria'!M98+Apartment!M113+Transportation!M101</f>
        <v>31100</v>
      </c>
      <c r="N68" s="63">
        <f>'Health Club'!N127+Telephone!N105+'Guest Laundry'!N107+BC!N120+'DYT Galleria'!N98+Apartment!N113+Transportation!N101</f>
        <v>31100</v>
      </c>
      <c r="O68" s="63">
        <f>'Health Club'!O127+Telephone!O105+'Guest Laundry'!O107+BC!O120+'DYT Galleria'!O98+Apartment!O113+Transportation!O101</f>
        <v>31100</v>
      </c>
      <c r="P68" s="63">
        <f>'Health Club'!P127+Telephone!P105+'Guest Laundry'!P107+BC!P120+'DYT Galleria'!P98+Apartment!P113+Transportation!P101</f>
        <v>31100</v>
      </c>
      <c r="Q68" s="61">
        <f>SUM(E68:P68)</f>
        <v>367800</v>
      </c>
      <c r="R68" s="39">
        <f>Q68/$Q$27</f>
        <v>0.63293753226639138</v>
      </c>
      <c r="S68" s="39"/>
      <c r="T68" s="35"/>
      <c r="U68" s="40" t="e">
        <f>-IF(Q68-T68=0,0,(Q68-T68)/T68)</f>
        <v>#DIV/0!</v>
      </c>
    </row>
    <row r="69" spans="1:21" s="3" customFormat="1" ht="25.4" customHeight="1">
      <c r="B69" s="51"/>
      <c r="D69" s="21" t="s">
        <v>437</v>
      </c>
      <c r="E69" s="52">
        <f>SUM(E67:E68)</f>
        <v>37700</v>
      </c>
      <c r="F69" s="52">
        <f t="shared" ref="F69:Q69" si="24">SUM(F67:F68)</f>
        <v>43100</v>
      </c>
      <c r="G69" s="52">
        <f t="shared" si="24"/>
        <v>43100</v>
      </c>
      <c r="H69" s="52">
        <f t="shared" si="24"/>
        <v>43100</v>
      </c>
      <c r="I69" s="52">
        <f t="shared" si="24"/>
        <v>43100</v>
      </c>
      <c r="J69" s="52">
        <f t="shared" si="24"/>
        <v>43100</v>
      </c>
      <c r="K69" s="52">
        <f t="shared" si="24"/>
        <v>43100</v>
      </c>
      <c r="L69" s="52">
        <f t="shared" si="24"/>
        <v>43100</v>
      </c>
      <c r="M69" s="52">
        <f t="shared" si="24"/>
        <v>43100</v>
      </c>
      <c r="N69" s="52">
        <f t="shared" si="24"/>
        <v>43100</v>
      </c>
      <c r="O69" s="52">
        <f t="shared" si="24"/>
        <v>43100</v>
      </c>
      <c r="P69" s="52">
        <f t="shared" si="24"/>
        <v>43100</v>
      </c>
      <c r="Q69" s="52">
        <f t="shared" si="24"/>
        <v>511800</v>
      </c>
      <c r="R69" s="39">
        <f>Q69/$Q$27</f>
        <v>0.88074341765616937</v>
      </c>
      <c r="S69" s="39"/>
      <c r="T69" s="35"/>
      <c r="U69" s="40" t="e">
        <f>-IF(Q69-T69=0,0,(Q69-T69)/T69)</f>
        <v>#DIV/0!</v>
      </c>
    </row>
    <row r="70" spans="1:21" s="3" customFormat="1" ht="25.4" customHeight="1">
      <c r="B70" s="51"/>
      <c r="E70" s="53"/>
      <c r="F70" s="123"/>
      <c r="G70" s="53"/>
      <c r="H70" s="123"/>
      <c r="I70" s="53"/>
      <c r="J70" s="123"/>
      <c r="K70" s="25"/>
      <c r="L70" s="127"/>
      <c r="M70" s="25"/>
      <c r="N70" s="123"/>
      <c r="T70" s="35"/>
      <c r="U70" s="40"/>
    </row>
    <row r="71" spans="1:21" s="3" customFormat="1" ht="25.4" customHeight="1">
      <c r="A71" s="254" t="s">
        <v>603</v>
      </c>
      <c r="B71" s="51" t="s">
        <v>714</v>
      </c>
      <c r="D71" s="26" t="s">
        <v>309</v>
      </c>
      <c r="E71" s="63">
        <f>'Health Club'!E130+Telephone!E108+'Guest Laundry'!E110+BC!E123+'DYT Galleria'!E101+Apartment!E116+Transportation!E104</f>
        <v>7089.67</v>
      </c>
      <c r="F71" s="63">
        <f>'Health Club'!F130+Telephone!F108+'Guest Laundry'!F110+BC!F123+'DYT Galleria'!F101+Apartment!F116+Transportation!F104</f>
        <v>0</v>
      </c>
      <c r="G71" s="63">
        <f>'Health Club'!G130+Telephone!G108+'Guest Laundry'!G110+BC!G123+'DYT Galleria'!G101+Apartment!G116+Transportation!G104</f>
        <v>0</v>
      </c>
      <c r="H71" s="63">
        <f>'Health Club'!H130+Telephone!H108+'Guest Laundry'!H110+BC!H123+'DYT Galleria'!H101+Apartment!H116+Transportation!H104</f>
        <v>2573.79</v>
      </c>
      <c r="I71" s="63">
        <f>'Health Club'!I130+Telephone!I108+'Guest Laundry'!I110+BC!I123+'DYT Galleria'!I101+Apartment!I116+Transportation!I104</f>
        <v>4289.66</v>
      </c>
      <c r="J71" s="63">
        <f>'Health Club'!J130+Telephone!J108+'Guest Laundry'!J110+BC!J123+'DYT Galleria'!J101+Apartment!J116+Transportation!J104</f>
        <v>0</v>
      </c>
      <c r="K71" s="63">
        <f>'Health Club'!K130+Telephone!K108+'Guest Laundry'!K110+BC!K123+'DYT Galleria'!K101+Apartment!K116+Transportation!K104</f>
        <v>0</v>
      </c>
      <c r="L71" s="63">
        <f>'Health Club'!L130+Telephone!L108+'Guest Laundry'!L110+BC!L123+'DYT Galleria'!L101+Apartment!L116+Transportation!L104</f>
        <v>0</v>
      </c>
      <c r="M71" s="63">
        <f>'Health Club'!M130+Telephone!M108+'Guest Laundry'!M110+BC!M123+'DYT Galleria'!M101+Apartment!M116+Transportation!M104</f>
        <v>0</v>
      </c>
      <c r="N71" s="63">
        <f>'Health Club'!N130+Telephone!N108+'Guest Laundry'!N110+BC!N123+'DYT Galleria'!N101+Apartment!N116+Transportation!N104</f>
        <v>8579.33</v>
      </c>
      <c r="O71" s="63">
        <f>'Health Club'!O130+Telephone!O108+'Guest Laundry'!O110+BC!O123+'DYT Galleria'!O101+Apartment!O116+Transportation!O104</f>
        <v>0</v>
      </c>
      <c r="P71" s="63">
        <f>'Health Club'!P130+Telephone!P108+'Guest Laundry'!P110+BC!P123+'DYT Galleria'!P101+Apartment!P116+Transportation!P104</f>
        <v>0</v>
      </c>
      <c r="Q71" s="61">
        <f>SUM(E71:P71)</f>
        <v>22532.449999999997</v>
      </c>
      <c r="R71" s="39">
        <f t="shared" ref="R71:R78" si="25">Q71/$Q$27</f>
        <v>3.8775511960075712E-2</v>
      </c>
      <c r="S71" s="39"/>
      <c r="T71" s="35"/>
      <c r="U71" s="40" t="e">
        <f t="shared" ref="U71:U78" si="26">-IF(Q71-T71=0,0,(Q71-T71)/T71)</f>
        <v>#DIV/0!</v>
      </c>
    </row>
    <row r="72" spans="1:21" s="3" customFormat="1" ht="25.4" customHeight="1">
      <c r="A72" s="54" t="s">
        <v>310</v>
      </c>
      <c r="B72" s="51" t="s">
        <v>714</v>
      </c>
      <c r="D72" s="26" t="s">
        <v>311</v>
      </c>
      <c r="E72" s="63">
        <f>'Health Club'!E131+Telephone!E109+'Guest Laundry'!E111+BC!E124+'DYT Galleria'!E102+Apartment!E117+Transportation!E105</f>
        <v>471.25</v>
      </c>
      <c r="F72" s="63">
        <f>'Health Club'!F131+Telephone!F109+'Guest Laundry'!F111+BC!F124+'DYT Galleria'!F102+Apartment!F117+Transportation!F105</f>
        <v>538.75</v>
      </c>
      <c r="G72" s="63">
        <f>'Health Club'!G131+Telephone!G109+'Guest Laundry'!G111+BC!G124+'DYT Galleria'!G102+Apartment!G117+Transportation!G105</f>
        <v>538.75</v>
      </c>
      <c r="H72" s="63">
        <f>'Health Club'!H131+Telephone!H109+'Guest Laundry'!H111+BC!H124+'DYT Galleria'!H102+Apartment!H117+Transportation!H105</f>
        <v>538.75</v>
      </c>
      <c r="I72" s="63">
        <f>'Health Club'!I131+Telephone!I109+'Guest Laundry'!I111+BC!I124+'DYT Galleria'!I102+Apartment!I117+Transportation!I105</f>
        <v>538.75</v>
      </c>
      <c r="J72" s="63">
        <f>'Health Club'!J131+Telephone!J109+'Guest Laundry'!J111+BC!J124+'DYT Galleria'!J102+Apartment!J117+Transportation!J105</f>
        <v>538.75</v>
      </c>
      <c r="K72" s="63">
        <f>'Health Club'!K131+Telephone!K109+'Guest Laundry'!K111+BC!K124+'DYT Galleria'!K102+Apartment!K117+Transportation!K105</f>
        <v>538.75</v>
      </c>
      <c r="L72" s="63">
        <f>'Health Club'!L131+Telephone!L109+'Guest Laundry'!L111+BC!L124+'DYT Galleria'!L102+Apartment!L117+Transportation!L105</f>
        <v>538.75</v>
      </c>
      <c r="M72" s="63">
        <f>'Health Club'!M131+Telephone!M109+'Guest Laundry'!M111+BC!M124+'DYT Galleria'!M102+Apartment!M117+Transportation!M105</f>
        <v>538.75</v>
      </c>
      <c r="N72" s="63">
        <f>'Health Club'!N131+Telephone!N109+'Guest Laundry'!N111+BC!N124+'DYT Galleria'!N102+Apartment!N117+Transportation!N105</f>
        <v>538.75</v>
      </c>
      <c r="O72" s="63">
        <f>'Health Club'!O131+Telephone!O109+'Guest Laundry'!O111+BC!O124+'DYT Galleria'!O102+Apartment!O117+Transportation!O105</f>
        <v>538.75</v>
      </c>
      <c r="P72" s="63">
        <f>'Health Club'!P131+Telephone!P109+'Guest Laundry'!P111+BC!P124+'DYT Galleria'!P102+Apartment!P117+Transportation!P105</f>
        <v>538.75</v>
      </c>
      <c r="Q72" s="61">
        <f t="shared" ref="Q72:Q76" si="27">SUM(E72:P72)</f>
        <v>6397.5</v>
      </c>
      <c r="R72" s="39">
        <f t="shared" si="25"/>
        <v>1.1009292720702116E-2</v>
      </c>
      <c r="S72" s="39"/>
      <c r="T72" s="35"/>
      <c r="U72" s="40" t="e">
        <f t="shared" si="26"/>
        <v>#DIV/0!</v>
      </c>
    </row>
    <row r="73" spans="1:21" s="3" customFormat="1" ht="25.4" customHeight="1">
      <c r="A73" s="254" t="s">
        <v>604</v>
      </c>
      <c r="D73" s="26" t="s">
        <v>313</v>
      </c>
      <c r="E73" s="63">
        <f>'Health Club'!E132+Telephone!E110+'Guest Laundry'!E112+BC!E125+'DYT Galleria'!E103+Apartment!E118+Transportation!E106</f>
        <v>0</v>
      </c>
      <c r="F73" s="63">
        <f>'Health Club'!F132+Telephone!F110+'Guest Laundry'!F112+BC!F125+'DYT Galleria'!F103+Apartment!F118+Transportation!F106</f>
        <v>0</v>
      </c>
      <c r="G73" s="63">
        <f>'Health Club'!G132+Telephone!G110+'Guest Laundry'!G112+BC!G125+'DYT Galleria'!G103+Apartment!G118+Transportation!G106</f>
        <v>0</v>
      </c>
      <c r="H73" s="63">
        <f>'Health Club'!H132+Telephone!H110+'Guest Laundry'!H112+BC!H125+'DYT Galleria'!H103+Apartment!H118+Transportation!H106</f>
        <v>0</v>
      </c>
      <c r="I73" s="63">
        <f>'Health Club'!I132+Telephone!I110+'Guest Laundry'!I112+BC!I125+'DYT Galleria'!I103+Apartment!I118+Transportation!I106</f>
        <v>0</v>
      </c>
      <c r="J73" s="63">
        <f>'Health Club'!J132+Telephone!J110+'Guest Laundry'!J112+BC!J125+'DYT Galleria'!J103+Apartment!J118+Transportation!J106</f>
        <v>0</v>
      </c>
      <c r="K73" s="63">
        <f>'Health Club'!K132+Telephone!K110+'Guest Laundry'!K112+BC!K125+'DYT Galleria'!K103+Apartment!K118+Transportation!K106</f>
        <v>0</v>
      </c>
      <c r="L73" s="63">
        <f>'Health Club'!L132+Telephone!L110+'Guest Laundry'!L112+BC!L125+'DYT Galleria'!L103+Apartment!L118+Transportation!L106</f>
        <v>0</v>
      </c>
      <c r="M73" s="63">
        <f>'Health Club'!M132+Telephone!M110+'Guest Laundry'!M112+BC!M125+'DYT Galleria'!M103+Apartment!M118+Transportation!M106</f>
        <v>0</v>
      </c>
      <c r="N73" s="63">
        <f>'Health Club'!N132+Telephone!N110+'Guest Laundry'!N112+BC!N125+'DYT Galleria'!N103+Apartment!N118+Transportation!N106</f>
        <v>0</v>
      </c>
      <c r="O73" s="63">
        <f>'Health Club'!O132+Telephone!O110+'Guest Laundry'!O112+BC!O125+'DYT Galleria'!O103+Apartment!O118+Transportation!O106</f>
        <v>0</v>
      </c>
      <c r="P73" s="63">
        <f>'Health Club'!P132+Telephone!P110+'Guest Laundry'!P112+BC!P125+'DYT Galleria'!P103+Apartment!P118+Transportation!P106</f>
        <v>0</v>
      </c>
      <c r="Q73" s="61">
        <f t="shared" si="27"/>
        <v>0</v>
      </c>
      <c r="R73" s="39">
        <f t="shared" si="25"/>
        <v>0</v>
      </c>
      <c r="S73" s="39"/>
      <c r="T73" s="35"/>
      <c r="U73" s="40">
        <f t="shared" si="26"/>
        <v>0</v>
      </c>
    </row>
    <row r="74" spans="1:21" s="3" customFormat="1" ht="25.4" customHeight="1">
      <c r="A74" s="254" t="s">
        <v>605</v>
      </c>
      <c r="B74" s="51" t="s">
        <v>714</v>
      </c>
      <c r="D74" s="26" t="s">
        <v>315</v>
      </c>
      <c r="E74" s="63">
        <f>'Health Club'!E133+Telephone!E111+'Guest Laundry'!E113+BC!E126+'DYT Galleria'!E104+Apartment!E119+Transportation!E107</f>
        <v>0</v>
      </c>
      <c r="F74" s="63">
        <f>'Health Club'!F133+Telephone!F111+'Guest Laundry'!F113+BC!F126+'DYT Galleria'!F104+Apartment!F119+Transportation!F107</f>
        <v>0</v>
      </c>
      <c r="G74" s="63">
        <f>'Health Club'!G133+Telephone!G111+'Guest Laundry'!G113+BC!G126+'DYT Galleria'!G104+Apartment!G119+Transportation!G107</f>
        <v>0</v>
      </c>
      <c r="H74" s="63">
        <f>'Health Club'!H133+Telephone!H111+'Guest Laundry'!H113+BC!H126+'DYT Galleria'!H104+Apartment!H119+Transportation!H107</f>
        <v>0</v>
      </c>
      <c r="I74" s="63">
        <f>'Health Club'!I133+Telephone!I111+'Guest Laundry'!I113+BC!I126+'DYT Galleria'!I104+Apartment!I119+Transportation!I107</f>
        <v>0</v>
      </c>
      <c r="J74" s="63">
        <f>'Health Club'!J133+Telephone!J111+'Guest Laundry'!J113+BC!J126+'DYT Galleria'!J104+Apartment!J119+Transportation!J107</f>
        <v>0</v>
      </c>
      <c r="K74" s="63">
        <f>'Health Club'!K133+Telephone!K111+'Guest Laundry'!K113+BC!K126+'DYT Galleria'!K104+Apartment!K119+Transportation!K107</f>
        <v>0</v>
      </c>
      <c r="L74" s="63">
        <f>'Health Club'!L133+Telephone!L111+'Guest Laundry'!L113+BC!L126+'DYT Galleria'!L104+Apartment!L119+Transportation!L107</f>
        <v>0</v>
      </c>
      <c r="M74" s="63">
        <f>'Health Club'!M133+Telephone!M111+'Guest Laundry'!M113+BC!M126+'DYT Galleria'!M104+Apartment!M119+Transportation!M107</f>
        <v>0</v>
      </c>
      <c r="N74" s="63">
        <f>'Health Club'!N133+Telephone!N111+'Guest Laundry'!N113+BC!N126+'DYT Galleria'!N104+Apartment!N119+Transportation!N107</f>
        <v>0</v>
      </c>
      <c r="O74" s="63">
        <f>'Health Club'!O133+Telephone!O111+'Guest Laundry'!O113+BC!O126+'DYT Galleria'!O104+Apartment!O119+Transportation!O107</f>
        <v>0</v>
      </c>
      <c r="P74" s="63">
        <f>'Health Club'!P133+Telephone!P111+'Guest Laundry'!P113+BC!P126+'DYT Galleria'!P104+Apartment!P119+Transportation!P107</f>
        <v>0</v>
      </c>
      <c r="Q74" s="61">
        <f t="shared" ref="Q74:Q75" si="28">SUM(E74:P74)</f>
        <v>0</v>
      </c>
      <c r="R74" s="39">
        <f t="shared" ref="R74:R75" si="29">Q74/$Q$27</f>
        <v>0</v>
      </c>
      <c r="S74" s="39"/>
      <c r="T74" s="35"/>
      <c r="U74" s="40">
        <f t="shared" ref="U74:U75" si="30">-IF(Q74-T74=0,0,(Q74-T74)/T74)</f>
        <v>0</v>
      </c>
    </row>
    <row r="75" spans="1:21" s="3" customFormat="1" ht="25.4" customHeight="1">
      <c r="A75" s="254" t="s">
        <v>606</v>
      </c>
      <c r="B75" s="51" t="s">
        <v>714</v>
      </c>
      <c r="D75" s="26" t="s">
        <v>317</v>
      </c>
      <c r="E75" s="63">
        <f>'Health Club'!E134+Telephone!E112+'Guest Laundry'!E114+BC!E127+'DYT Galleria'!E105+Apartment!E120+Transportation!E108</f>
        <v>0</v>
      </c>
      <c r="F75" s="63">
        <f>'Health Club'!F134+Telephone!F112+'Guest Laundry'!F114+BC!F127+'DYT Galleria'!F105+Apartment!F120+Transportation!F108</f>
        <v>0</v>
      </c>
      <c r="G75" s="63">
        <f>'Health Club'!G134+Telephone!G112+'Guest Laundry'!G114+BC!G127+'DYT Galleria'!G105+Apartment!G120+Transportation!G108</f>
        <v>0</v>
      </c>
      <c r="H75" s="63">
        <f>'Health Club'!H134+Telephone!H112+'Guest Laundry'!H114+BC!H127+'DYT Galleria'!H105+Apartment!H120+Transportation!H108</f>
        <v>0</v>
      </c>
      <c r="I75" s="63">
        <f>'Health Club'!I134+Telephone!I112+'Guest Laundry'!I114+BC!I127+'DYT Galleria'!I105+Apartment!I120+Transportation!I108</f>
        <v>0</v>
      </c>
      <c r="J75" s="63">
        <f>'Health Club'!J134+Telephone!J112+'Guest Laundry'!J114+BC!J127+'DYT Galleria'!J105+Apartment!J120+Transportation!J108</f>
        <v>0</v>
      </c>
      <c r="K75" s="63">
        <f>'Health Club'!K134+Telephone!K112+'Guest Laundry'!K114+BC!K127+'DYT Galleria'!K105+Apartment!K120+Transportation!K108</f>
        <v>0</v>
      </c>
      <c r="L75" s="63">
        <f>'Health Club'!L134+Telephone!L112+'Guest Laundry'!L114+BC!L127+'DYT Galleria'!L105+Apartment!L120+Transportation!L108</f>
        <v>0</v>
      </c>
      <c r="M75" s="63">
        <f>'Health Club'!M134+Telephone!M112+'Guest Laundry'!M114+BC!M127+'DYT Galleria'!M105+Apartment!M120+Transportation!M108</f>
        <v>0</v>
      </c>
      <c r="N75" s="63">
        <f>'Health Club'!N134+Telephone!N112+'Guest Laundry'!N114+BC!N127+'DYT Galleria'!N105+Apartment!N120+Transportation!N108</f>
        <v>0</v>
      </c>
      <c r="O75" s="63">
        <f>'Health Club'!O134+Telephone!O112+'Guest Laundry'!O114+BC!O127+'DYT Galleria'!O105+Apartment!O120+Transportation!O108</f>
        <v>0</v>
      </c>
      <c r="P75" s="63">
        <f>'Health Club'!P134+Telephone!P112+'Guest Laundry'!P114+BC!P127+'DYT Galleria'!P105+Apartment!P120+Transportation!P108</f>
        <v>0</v>
      </c>
      <c r="Q75" s="61">
        <f t="shared" si="28"/>
        <v>0</v>
      </c>
      <c r="R75" s="39">
        <f t="shared" si="29"/>
        <v>0</v>
      </c>
      <c r="S75" s="39"/>
      <c r="T75" s="35"/>
      <c r="U75" s="40">
        <f t="shared" si="30"/>
        <v>0</v>
      </c>
    </row>
    <row r="76" spans="1:21" s="3" customFormat="1" ht="25.4" customHeight="1">
      <c r="A76" s="254" t="s">
        <v>1066</v>
      </c>
      <c r="B76" s="51" t="s">
        <v>714</v>
      </c>
      <c r="D76" s="26" t="s">
        <v>1069</v>
      </c>
      <c r="E76" s="63">
        <f>'Health Club'!E135+Telephone!E113+'Guest Laundry'!E115+BC!E128+'DYT Galleria'!E106+Apartment!E121+Transportation!E109</f>
        <v>0</v>
      </c>
      <c r="F76" s="63">
        <f>'Health Club'!F135+Telephone!F113+'Guest Laundry'!F115+BC!F128+'DYT Galleria'!F106+Apartment!F121+Transportation!F109</f>
        <v>0</v>
      </c>
      <c r="G76" s="63">
        <f>'Health Club'!G135+Telephone!G113+'Guest Laundry'!G115+BC!G128+'DYT Galleria'!G106+Apartment!G121+Transportation!G109</f>
        <v>0</v>
      </c>
      <c r="H76" s="63">
        <f>'Health Club'!H135+Telephone!H113+'Guest Laundry'!H115+BC!H128+'DYT Galleria'!H106+Apartment!H121+Transportation!H109</f>
        <v>0</v>
      </c>
      <c r="I76" s="63">
        <f>'Health Club'!I135+Telephone!I113+'Guest Laundry'!I115+BC!I128+'DYT Galleria'!I106+Apartment!I121+Transportation!I109</f>
        <v>0</v>
      </c>
      <c r="J76" s="63">
        <f>'Health Club'!J135+Telephone!J113+'Guest Laundry'!J115+BC!J128+'DYT Galleria'!J106+Apartment!J121+Transportation!J109</f>
        <v>0</v>
      </c>
      <c r="K76" s="63">
        <f>'Health Club'!K135+Telephone!K113+'Guest Laundry'!K115+BC!K128+'DYT Galleria'!K106+Apartment!K121+Transportation!K109</f>
        <v>0</v>
      </c>
      <c r="L76" s="63">
        <f>'Health Club'!L135+Telephone!L113+'Guest Laundry'!L115+BC!L128+'DYT Galleria'!L106+Apartment!L121+Transportation!L109</f>
        <v>0</v>
      </c>
      <c r="M76" s="63">
        <f>'Health Club'!M135+Telephone!M113+'Guest Laundry'!M115+BC!M128+'DYT Galleria'!M106+Apartment!M121+Transportation!M109</f>
        <v>0</v>
      </c>
      <c r="N76" s="63">
        <f>'Health Club'!N135+Telephone!N113+'Guest Laundry'!N115+BC!N128+'DYT Galleria'!N106+Apartment!N121+Transportation!N109</f>
        <v>0</v>
      </c>
      <c r="O76" s="63">
        <f>'Health Club'!O135+Telephone!O113+'Guest Laundry'!O115+BC!O128+'DYT Galleria'!O106+Apartment!O121+Transportation!O109</f>
        <v>0</v>
      </c>
      <c r="P76" s="63">
        <f>'Health Club'!P135+Telephone!P113+'Guest Laundry'!P115+BC!P128+'DYT Galleria'!P106+Apartment!P121+Transportation!P109</f>
        <v>0</v>
      </c>
      <c r="Q76" s="61">
        <f t="shared" si="27"/>
        <v>0</v>
      </c>
      <c r="R76" s="39">
        <f t="shared" si="25"/>
        <v>0</v>
      </c>
      <c r="S76" s="39"/>
      <c r="T76" s="35"/>
      <c r="U76" s="40">
        <f t="shared" si="26"/>
        <v>0</v>
      </c>
    </row>
    <row r="77" spans="1:21" s="3" customFormat="1" ht="25.4" customHeight="1">
      <c r="A77" s="254" t="s">
        <v>1066</v>
      </c>
      <c r="B77" s="51" t="s">
        <v>714</v>
      </c>
      <c r="D77" s="26" t="s">
        <v>1070</v>
      </c>
      <c r="E77" s="63">
        <f>'Health Club'!E136+Telephone!E114+'Guest Laundry'!E116+BC!E129+'DYT Galleria'!E107+Apartment!E122+Transportation!E110</f>
        <v>9808.4500000000007</v>
      </c>
      <c r="F77" s="63">
        <f>'Health Club'!F136+Telephone!F114+'Guest Laundry'!F116+BC!F129+'DYT Galleria'!F107+Apartment!F122+Transportation!F110</f>
        <v>7602.29</v>
      </c>
      <c r="G77" s="63">
        <f>'Health Club'!G136+Telephone!G114+'Guest Laundry'!G116+BC!G129+'DYT Galleria'!G107+Apartment!G122+Transportation!G110</f>
        <v>8409.56</v>
      </c>
      <c r="H77" s="63">
        <f>'Health Club'!H136+Telephone!H114+'Guest Laundry'!H116+BC!H129+'DYT Galleria'!H107+Apartment!H122+Transportation!H110</f>
        <v>16281.17</v>
      </c>
      <c r="I77" s="63">
        <f>'Health Club'!I136+Telephone!I114+'Guest Laundry'!I116+BC!I129+'DYT Galleria'!I107+Apartment!I122+Transportation!I110</f>
        <v>35762.269999999997</v>
      </c>
      <c r="J77" s="63">
        <f>'Health Club'!J136+Telephone!J114+'Guest Laundry'!J116+BC!J129+'DYT Galleria'!J107+Apartment!J122+Transportation!J110</f>
        <v>33503.24</v>
      </c>
      <c r="K77" s="63">
        <f>'Health Club'!K136+Telephone!K114+'Guest Laundry'!K116+BC!K129+'DYT Galleria'!K107+Apartment!K122+Transportation!K110</f>
        <v>33471.33</v>
      </c>
      <c r="L77" s="63">
        <f>'Health Club'!L136+Telephone!L114+'Guest Laundry'!L116+BC!L129+'DYT Galleria'!L107+Apartment!L122+Transportation!L110</f>
        <v>33478.49</v>
      </c>
      <c r="M77" s="63">
        <f>'Health Club'!M136+Telephone!M114+'Guest Laundry'!M116+BC!M129+'DYT Galleria'!M107+Apartment!M122+Transportation!M110</f>
        <v>33494.42</v>
      </c>
      <c r="N77" s="63">
        <f>'Health Club'!N136+Telephone!N114+'Guest Laundry'!N116+BC!N129+'DYT Galleria'!N107+Apartment!N122+Transportation!N110</f>
        <v>39989.360000000001</v>
      </c>
      <c r="O77" s="63">
        <f>'Health Club'!O136+Telephone!O114+'Guest Laundry'!O116+BC!O129+'DYT Galleria'!O107+Apartment!O122+Transportation!O110</f>
        <v>8368.7800000000007</v>
      </c>
      <c r="P77" s="63">
        <f>'Health Club'!P136+Telephone!P114+'Guest Laundry'!P116+BC!P129+'DYT Galleria'!P107+Apartment!P122+Transportation!P110</f>
        <v>8365.619999999999</v>
      </c>
      <c r="Q77" s="61">
        <f>SUM(E77:P77)</f>
        <v>268534.98</v>
      </c>
      <c r="R77" s="39">
        <f t="shared" si="25"/>
        <v>0.4621149199793495</v>
      </c>
      <c r="S77" s="39"/>
      <c r="T77" s="35"/>
      <c r="U77" s="40" t="e">
        <f t="shared" si="26"/>
        <v>#DIV/0!</v>
      </c>
    </row>
    <row r="78" spans="1:21" s="19" customFormat="1" ht="25.4" customHeight="1">
      <c r="A78" s="254" t="s">
        <v>607</v>
      </c>
      <c r="B78" s="51"/>
      <c r="D78" s="19" t="s">
        <v>318</v>
      </c>
      <c r="E78" s="52">
        <f>SUM(E71:E77)</f>
        <v>17369.370000000003</v>
      </c>
      <c r="F78" s="52">
        <f t="shared" ref="F78:Q78" si="31">SUM(F71:F77)</f>
        <v>8141.04</v>
      </c>
      <c r="G78" s="52">
        <f t="shared" si="31"/>
        <v>8948.31</v>
      </c>
      <c r="H78" s="52">
        <f t="shared" si="31"/>
        <v>19393.71</v>
      </c>
      <c r="I78" s="52">
        <f t="shared" si="31"/>
        <v>40590.679999999993</v>
      </c>
      <c r="J78" s="52">
        <f t="shared" si="31"/>
        <v>34041.99</v>
      </c>
      <c r="K78" s="52">
        <f t="shared" si="31"/>
        <v>34010.080000000002</v>
      </c>
      <c r="L78" s="52">
        <f t="shared" si="31"/>
        <v>34017.24</v>
      </c>
      <c r="M78" s="52">
        <f t="shared" si="31"/>
        <v>34033.17</v>
      </c>
      <c r="N78" s="52">
        <f t="shared" si="31"/>
        <v>49107.44</v>
      </c>
      <c r="O78" s="52">
        <f t="shared" si="31"/>
        <v>8907.5300000000007</v>
      </c>
      <c r="P78" s="52">
        <f t="shared" si="31"/>
        <v>8904.369999999999</v>
      </c>
      <c r="Q78" s="52">
        <f t="shared" si="31"/>
        <v>297464.93</v>
      </c>
      <c r="R78" s="39">
        <f t="shared" si="25"/>
        <v>0.51189972466012734</v>
      </c>
      <c r="S78" s="39"/>
      <c r="T78" s="35"/>
      <c r="U78" s="40" t="e">
        <f t="shared" si="26"/>
        <v>#DIV/0!</v>
      </c>
    </row>
    <row r="79" spans="1:21" s="3" customFormat="1" ht="25.4" customHeight="1">
      <c r="A79" s="50"/>
      <c r="D79" s="19"/>
      <c r="E79" s="53"/>
      <c r="F79" s="123"/>
      <c r="G79" s="53"/>
      <c r="H79" s="123"/>
      <c r="I79" s="53"/>
      <c r="J79" s="123"/>
      <c r="K79" s="25"/>
      <c r="L79" s="127"/>
      <c r="M79" s="25"/>
      <c r="N79" s="123"/>
      <c r="T79" s="35"/>
      <c r="U79" s="40"/>
    </row>
    <row r="80" spans="1:21" s="3" customFormat="1" ht="25.4" customHeight="1">
      <c r="A80" s="254" t="s">
        <v>609</v>
      </c>
      <c r="B80" s="51" t="s">
        <v>715</v>
      </c>
      <c r="D80" s="26" t="s">
        <v>320</v>
      </c>
      <c r="E80" s="90">
        <f>'Health Club'!E139+Telephone!E117+'Guest Laundry'!E119+BC!E132+'DYT Galleria'!E110+Apartment!E125+Transportation!E113</f>
        <v>5337.5999999999995</v>
      </c>
      <c r="F80" s="90">
        <f>'Health Club'!F139+Telephone!F117+'Guest Laundry'!F119+BC!F132+'DYT Galleria'!F110+Apartment!F125+Transportation!F113</f>
        <v>6147.6</v>
      </c>
      <c r="G80" s="90">
        <f>'Health Club'!G139+Telephone!G117+'Guest Laundry'!G119+BC!G132+'DYT Galleria'!G110+Apartment!G125+Transportation!G113</f>
        <v>6147.6</v>
      </c>
      <c r="H80" s="90">
        <f>'Health Club'!H139+Telephone!H117+'Guest Laundry'!H119+BC!H132+'DYT Galleria'!H110+Apartment!H125+Transportation!H113</f>
        <v>6147.6</v>
      </c>
      <c r="I80" s="90">
        <f>'Health Club'!I139+Telephone!I117+'Guest Laundry'!I119+BC!I132+'DYT Galleria'!I110+Apartment!I125+Transportation!I113</f>
        <v>6147.6</v>
      </c>
      <c r="J80" s="90">
        <f>'Health Club'!J139+Telephone!J117+'Guest Laundry'!J119+BC!J132+'DYT Galleria'!J110+Apartment!J125+Transportation!J113</f>
        <v>6147.6</v>
      </c>
      <c r="K80" s="90">
        <f>'Health Club'!K139+Telephone!K117+'Guest Laundry'!K119+BC!K132+'DYT Galleria'!K110+Apartment!K125+Transportation!K113</f>
        <v>6147.6</v>
      </c>
      <c r="L80" s="90">
        <f>'Health Club'!L139+Telephone!L117+'Guest Laundry'!L119+BC!L132+'DYT Galleria'!L110+Apartment!L125+Transportation!L113</f>
        <v>6147.6</v>
      </c>
      <c r="M80" s="90">
        <f>'Health Club'!M139+Telephone!M117+'Guest Laundry'!M119+BC!M132+'DYT Galleria'!M110+Apartment!M125+Transportation!M113</f>
        <v>6147.6</v>
      </c>
      <c r="N80" s="90">
        <f>'Health Club'!N139+Telephone!N117+'Guest Laundry'!N119+BC!N132+'DYT Galleria'!N110+Apartment!N125+Transportation!N113</f>
        <v>6147.6</v>
      </c>
      <c r="O80" s="90">
        <f>'Health Club'!O139+Telephone!O117+'Guest Laundry'!O119+BC!O132+'DYT Galleria'!O110+Apartment!O125+Transportation!O113</f>
        <v>6147.6</v>
      </c>
      <c r="P80" s="90">
        <f>'Health Club'!P139+Telephone!P117+'Guest Laundry'!P119+BC!P132+'DYT Galleria'!P110+Apartment!P125+Transportation!P113</f>
        <v>6147.6</v>
      </c>
      <c r="Q80" s="61">
        <f>SUM(E80:P80)</f>
        <v>72961.2</v>
      </c>
      <c r="R80" s="39">
        <f t="shared" ref="R80:R88" si="32">Q80/$Q$27</f>
        <v>0.12555704697986578</v>
      </c>
      <c r="S80" s="39"/>
      <c r="T80" s="35"/>
      <c r="U80" s="40" t="e">
        <f t="shared" ref="U80:U88" si="33">-IF(Q80-T80=0,0,(Q80-T80)/T80)</f>
        <v>#DIV/0!</v>
      </c>
    </row>
    <row r="81" spans="1:21" s="3" customFormat="1" ht="25.4" customHeight="1">
      <c r="A81" s="254" t="s">
        <v>610</v>
      </c>
      <c r="B81" s="51" t="s">
        <v>715</v>
      </c>
      <c r="D81" s="26" t="s">
        <v>322</v>
      </c>
      <c r="E81" s="90">
        <f>'Health Club'!E140+Telephone!E118+'Guest Laundry'!E120+BC!E133+'DYT Galleria'!E111+Apartment!E126+Transportation!E114</f>
        <v>2091.48</v>
      </c>
      <c r="F81" s="90">
        <f>'Health Club'!F140+Telephone!F118+'Guest Laundry'!F120+BC!F133+'DYT Galleria'!F111+Apartment!F126+Transportation!F114</f>
        <v>2415.48</v>
      </c>
      <c r="G81" s="90">
        <f>'Health Club'!G140+Telephone!G118+'Guest Laundry'!G120+BC!G133+'DYT Galleria'!G111+Apartment!G126+Transportation!G114</f>
        <v>2415.48</v>
      </c>
      <c r="H81" s="90">
        <f>'Health Club'!H140+Telephone!H118+'Guest Laundry'!H120+BC!H133+'DYT Galleria'!H111+Apartment!H126+Transportation!H114</f>
        <v>2415.48</v>
      </c>
      <c r="I81" s="90">
        <f>'Health Club'!I140+Telephone!I118+'Guest Laundry'!I120+BC!I133+'DYT Galleria'!I111+Apartment!I126+Transportation!I114</f>
        <v>2415.48</v>
      </c>
      <c r="J81" s="90">
        <f>'Health Club'!J140+Telephone!J118+'Guest Laundry'!J120+BC!J133+'DYT Galleria'!J111+Apartment!J126+Transportation!J114</f>
        <v>2415.48</v>
      </c>
      <c r="K81" s="90">
        <f>'Health Club'!K140+Telephone!K118+'Guest Laundry'!K120+BC!K133+'DYT Galleria'!K111+Apartment!K126+Transportation!K114</f>
        <v>2415.48</v>
      </c>
      <c r="L81" s="90">
        <f>'Health Club'!L140+Telephone!L118+'Guest Laundry'!L120+BC!L133+'DYT Galleria'!L111+Apartment!L126+Transportation!L114</f>
        <v>2415.48</v>
      </c>
      <c r="M81" s="90">
        <f>'Health Club'!M140+Telephone!M118+'Guest Laundry'!M120+BC!M133+'DYT Galleria'!M111+Apartment!M126+Transportation!M114</f>
        <v>2415.48</v>
      </c>
      <c r="N81" s="90">
        <f>'Health Club'!N140+Telephone!N118+'Guest Laundry'!N120+BC!N133+'DYT Galleria'!N111+Apartment!N126+Transportation!N114</f>
        <v>2415.48</v>
      </c>
      <c r="O81" s="90">
        <f>'Health Club'!O140+Telephone!O118+'Guest Laundry'!O120+BC!O133+'DYT Galleria'!O111+Apartment!O126+Transportation!O114</f>
        <v>2415.48</v>
      </c>
      <c r="P81" s="90">
        <f>'Health Club'!P140+Telephone!P118+'Guest Laundry'!P120+BC!P133+'DYT Galleria'!P111+Apartment!P126+Transportation!P114</f>
        <v>2415.48</v>
      </c>
      <c r="Q81" s="61">
        <f t="shared" ref="Q81:Q85" si="34">SUM(E81:P81)</f>
        <v>28661.759999999998</v>
      </c>
      <c r="R81" s="39">
        <f t="shared" si="32"/>
        <v>4.932328342798141E-2</v>
      </c>
      <c r="S81" s="39"/>
      <c r="T81" s="35"/>
      <c r="U81" s="40" t="e">
        <f t="shared" si="33"/>
        <v>#DIV/0!</v>
      </c>
    </row>
    <row r="82" spans="1:21" s="3" customFormat="1" ht="25.4" customHeight="1">
      <c r="A82" s="254" t="s">
        <v>611</v>
      </c>
      <c r="B82" s="51" t="s">
        <v>715</v>
      </c>
      <c r="D82" s="26" t="s">
        <v>324</v>
      </c>
      <c r="E82" s="90">
        <f>'Health Club'!E141+Telephone!E119+'Guest Laundry'!E121+BC!E134+'DYT Galleria'!E112+Apartment!E127+Transportation!E115</f>
        <v>277.60000000000002</v>
      </c>
      <c r="F82" s="90">
        <f>'Health Club'!F141+Telephone!F119+'Guest Laundry'!F121+BC!F134+'DYT Galleria'!F112+Apartment!F127+Transportation!F115</f>
        <v>320.8</v>
      </c>
      <c r="G82" s="90">
        <f>'Health Club'!G141+Telephone!G119+'Guest Laundry'!G121+BC!G134+'DYT Galleria'!G112+Apartment!G127+Transportation!G115</f>
        <v>320.8</v>
      </c>
      <c r="H82" s="90">
        <f>'Health Club'!H141+Telephone!H119+'Guest Laundry'!H121+BC!H134+'DYT Galleria'!H112+Apartment!H127+Transportation!H115</f>
        <v>320.8</v>
      </c>
      <c r="I82" s="90">
        <f>'Health Club'!I141+Telephone!I119+'Guest Laundry'!I121+BC!I134+'DYT Galleria'!I112+Apartment!I127+Transportation!I115</f>
        <v>320.8</v>
      </c>
      <c r="J82" s="90">
        <f>'Health Club'!J141+Telephone!J119+'Guest Laundry'!J121+BC!J134+'DYT Galleria'!J112+Apartment!J127+Transportation!J115</f>
        <v>320.8</v>
      </c>
      <c r="K82" s="90">
        <f>'Health Club'!K141+Telephone!K119+'Guest Laundry'!K121+BC!K134+'DYT Galleria'!K112+Apartment!K127+Transportation!K115</f>
        <v>320.8</v>
      </c>
      <c r="L82" s="90">
        <f>'Health Club'!L141+Telephone!L119+'Guest Laundry'!L121+BC!L134+'DYT Galleria'!L112+Apartment!L127+Transportation!L115</f>
        <v>320.8</v>
      </c>
      <c r="M82" s="90">
        <f>'Health Club'!M141+Telephone!M119+'Guest Laundry'!M121+BC!M134+'DYT Galleria'!M112+Apartment!M127+Transportation!M115</f>
        <v>320.8</v>
      </c>
      <c r="N82" s="90">
        <f>'Health Club'!N141+Telephone!N119+'Guest Laundry'!N121+BC!N134+'DYT Galleria'!N112+Apartment!N127+Transportation!N115</f>
        <v>320.8</v>
      </c>
      <c r="O82" s="90">
        <f>'Health Club'!O141+Telephone!O119+'Guest Laundry'!O121+BC!O134+'DYT Galleria'!O112+Apartment!O127+Transportation!O115</f>
        <v>320.8</v>
      </c>
      <c r="P82" s="90">
        <f>'Health Club'!P141+Telephone!P119+'Guest Laundry'!P121+BC!P134+'DYT Galleria'!P112+Apartment!P127+Transportation!P115</f>
        <v>320.8</v>
      </c>
      <c r="Q82" s="61">
        <f t="shared" si="34"/>
        <v>3806.400000000001</v>
      </c>
      <c r="R82" s="39">
        <f t="shared" si="32"/>
        <v>6.5503355704698008E-3</v>
      </c>
      <c r="S82" s="39"/>
      <c r="T82" s="35"/>
      <c r="U82" s="40" t="e">
        <f t="shared" si="33"/>
        <v>#DIV/0!</v>
      </c>
    </row>
    <row r="83" spans="1:21" s="3" customFormat="1" ht="24.75" customHeight="1">
      <c r="A83" s="254" t="s">
        <v>612</v>
      </c>
      <c r="B83" s="51" t="s">
        <v>715</v>
      </c>
      <c r="D83" s="26" t="s">
        <v>326</v>
      </c>
      <c r="E83" s="90">
        <f>'Health Club'!E142+Telephone!E120+'Guest Laundry'!E122+BC!E135+'DYT Galleria'!E113+Apartment!E128+Transportation!E116</f>
        <v>138.80000000000001</v>
      </c>
      <c r="F83" s="90">
        <f>'Health Club'!F142+Telephone!F120+'Guest Laundry'!F122+BC!F135+'DYT Galleria'!F113+Apartment!F128+Transportation!F116</f>
        <v>160.4</v>
      </c>
      <c r="G83" s="90">
        <f>'Health Club'!G142+Telephone!G120+'Guest Laundry'!G122+BC!G135+'DYT Galleria'!G113+Apartment!G128+Transportation!G116</f>
        <v>160.4</v>
      </c>
      <c r="H83" s="90">
        <f>'Health Club'!H142+Telephone!H120+'Guest Laundry'!H122+BC!H135+'DYT Galleria'!H113+Apartment!H128+Transportation!H116</f>
        <v>160.4</v>
      </c>
      <c r="I83" s="90">
        <f>'Health Club'!I142+Telephone!I120+'Guest Laundry'!I122+BC!I135+'DYT Galleria'!I113+Apartment!I128+Transportation!I116</f>
        <v>160.4</v>
      </c>
      <c r="J83" s="90">
        <f>'Health Club'!J142+Telephone!J120+'Guest Laundry'!J122+BC!J135+'DYT Galleria'!J113+Apartment!J128+Transportation!J116</f>
        <v>160.4</v>
      </c>
      <c r="K83" s="90">
        <f>'Health Club'!K142+Telephone!K120+'Guest Laundry'!K122+BC!K135+'DYT Galleria'!K113+Apartment!K128+Transportation!K116</f>
        <v>160.4</v>
      </c>
      <c r="L83" s="90">
        <f>'Health Club'!L142+Telephone!L120+'Guest Laundry'!L122+BC!L135+'DYT Galleria'!L113+Apartment!L128+Transportation!L116</f>
        <v>160.4</v>
      </c>
      <c r="M83" s="90">
        <f>'Health Club'!M142+Telephone!M120+'Guest Laundry'!M122+BC!M135+'DYT Galleria'!M113+Apartment!M128+Transportation!M116</f>
        <v>160.4</v>
      </c>
      <c r="N83" s="90">
        <f>'Health Club'!N142+Telephone!N120+'Guest Laundry'!N122+BC!N135+'DYT Galleria'!N113+Apartment!N128+Transportation!N116</f>
        <v>160.4</v>
      </c>
      <c r="O83" s="90">
        <f>'Health Club'!O142+Telephone!O120+'Guest Laundry'!O122+BC!O135+'DYT Galleria'!O113+Apartment!O128+Transportation!O116</f>
        <v>160.4</v>
      </c>
      <c r="P83" s="90">
        <f>'Health Club'!P142+Telephone!P120+'Guest Laundry'!P122+BC!P135+'DYT Galleria'!P113+Apartment!P128+Transportation!P116</f>
        <v>160.4</v>
      </c>
      <c r="Q83" s="61">
        <f t="shared" si="34"/>
        <v>1903.2000000000005</v>
      </c>
      <c r="R83" s="39">
        <f t="shared" si="32"/>
        <v>3.2751677852349004E-3</v>
      </c>
      <c r="S83" s="39"/>
      <c r="T83" s="35"/>
      <c r="U83" s="40" t="e">
        <f t="shared" si="33"/>
        <v>#DIV/0!</v>
      </c>
    </row>
    <row r="84" spans="1:21" s="3" customFormat="1" ht="24.75" customHeight="1">
      <c r="A84" s="254" t="s">
        <v>613</v>
      </c>
      <c r="B84" s="51" t="s">
        <v>715</v>
      </c>
      <c r="D84" s="26" t="s">
        <v>328</v>
      </c>
      <c r="E84" s="90">
        <f>'Health Club'!E143+Telephone!E121+'Guest Laundry'!E123+BC!E136+'DYT Galleria'!E114+Apartment!E129+Transportation!E117</f>
        <v>0</v>
      </c>
      <c r="F84" s="90">
        <f>'Health Club'!F143+Telephone!F121+'Guest Laundry'!F123+BC!F136+'DYT Galleria'!F114+Apartment!F129+Transportation!F117</f>
        <v>0</v>
      </c>
      <c r="G84" s="90">
        <f>'Health Club'!G143+Telephone!G121+'Guest Laundry'!G123+BC!G136+'DYT Galleria'!G114+Apartment!G129+Transportation!G117</f>
        <v>0</v>
      </c>
      <c r="H84" s="90">
        <f>'Health Club'!H143+Telephone!H121+'Guest Laundry'!H123+BC!H136+'DYT Galleria'!H114+Apartment!H129+Transportation!H117</f>
        <v>0</v>
      </c>
      <c r="I84" s="90">
        <f>'Health Club'!I143+Telephone!I121+'Guest Laundry'!I123+BC!I136+'DYT Galleria'!I114+Apartment!I129+Transportation!I117</f>
        <v>0</v>
      </c>
      <c r="J84" s="90">
        <f>'Health Club'!J143+Telephone!J121+'Guest Laundry'!J123+BC!J136+'DYT Galleria'!J114+Apartment!J129+Transportation!J117</f>
        <v>0</v>
      </c>
      <c r="K84" s="90">
        <f>'Health Club'!K143+Telephone!K121+'Guest Laundry'!K123+BC!K136+'DYT Galleria'!K114+Apartment!K129+Transportation!K117</f>
        <v>0</v>
      </c>
      <c r="L84" s="90">
        <f>'Health Club'!L143+Telephone!L121+'Guest Laundry'!L123+BC!L136+'DYT Galleria'!L114+Apartment!L129+Transportation!L117</f>
        <v>0</v>
      </c>
      <c r="M84" s="90">
        <f>'Health Club'!M143+Telephone!M121+'Guest Laundry'!M123+BC!M136+'DYT Galleria'!M114+Apartment!M129+Transportation!M117</f>
        <v>0</v>
      </c>
      <c r="N84" s="90">
        <f>'Health Club'!N143+Telephone!N121+'Guest Laundry'!N123+BC!N136+'DYT Galleria'!N114+Apartment!N129+Transportation!N117</f>
        <v>0</v>
      </c>
      <c r="O84" s="90">
        <f>'Health Club'!O143+Telephone!O121+'Guest Laundry'!O123+BC!O136+'DYT Galleria'!O114+Apartment!O129+Transportation!O117</f>
        <v>0</v>
      </c>
      <c r="P84" s="90">
        <f>'Health Club'!P143+Telephone!P121+'Guest Laundry'!P123+BC!P136+'DYT Galleria'!P114+Apartment!P129+Transportation!P117</f>
        <v>0</v>
      </c>
      <c r="Q84" s="61">
        <f t="shared" si="34"/>
        <v>0</v>
      </c>
      <c r="R84" s="39">
        <f t="shared" si="32"/>
        <v>0</v>
      </c>
      <c r="S84" s="39"/>
      <c r="T84" s="35"/>
      <c r="U84" s="40">
        <f t="shared" si="33"/>
        <v>0</v>
      </c>
    </row>
    <row r="85" spans="1:21" s="3" customFormat="1" ht="25.4" customHeight="1">
      <c r="A85" s="254" t="s">
        <v>614</v>
      </c>
      <c r="B85" s="51" t="s">
        <v>715</v>
      </c>
      <c r="D85" s="26" t="s">
        <v>330</v>
      </c>
      <c r="E85" s="90">
        <f>'Health Club'!E144+Telephone!E122+'Guest Laundry'!E124+BC!E137+'DYT Galleria'!E115+Apartment!E130+Transportation!E118</f>
        <v>2776</v>
      </c>
      <c r="F85" s="90">
        <f>'Health Club'!F144+Telephone!F122+'Guest Laundry'!F124+BC!F137+'DYT Galleria'!F115+Apartment!F130+Transportation!F118</f>
        <v>3208</v>
      </c>
      <c r="G85" s="90">
        <f>'Health Club'!G144+Telephone!G122+'Guest Laundry'!G124+BC!G137+'DYT Galleria'!G115+Apartment!G130+Transportation!G118</f>
        <v>3208</v>
      </c>
      <c r="H85" s="90">
        <f>'Health Club'!H144+Telephone!H122+'Guest Laundry'!H124+BC!H137+'DYT Galleria'!H115+Apartment!H130+Transportation!H118</f>
        <v>3208</v>
      </c>
      <c r="I85" s="90">
        <f>'Health Club'!I144+Telephone!I122+'Guest Laundry'!I124+BC!I137+'DYT Galleria'!I115+Apartment!I130+Transportation!I118</f>
        <v>3208</v>
      </c>
      <c r="J85" s="90">
        <f>'Health Club'!J144+Telephone!J122+'Guest Laundry'!J124+BC!J137+'DYT Galleria'!J115+Apartment!J130+Transportation!J118</f>
        <v>3208</v>
      </c>
      <c r="K85" s="90">
        <f>'Health Club'!K144+Telephone!K122+'Guest Laundry'!K124+BC!K137+'DYT Galleria'!K115+Apartment!K130+Transportation!K118</f>
        <v>3208</v>
      </c>
      <c r="L85" s="90">
        <f>'Health Club'!L144+Telephone!L122+'Guest Laundry'!L124+BC!L137+'DYT Galleria'!L115+Apartment!L130+Transportation!L118</f>
        <v>3208</v>
      </c>
      <c r="M85" s="90">
        <f>'Health Club'!M144+Telephone!M122+'Guest Laundry'!M124+BC!M137+'DYT Galleria'!M115+Apartment!M130+Transportation!M118</f>
        <v>3208</v>
      </c>
      <c r="N85" s="90">
        <f>'Health Club'!N144+Telephone!N122+'Guest Laundry'!N124+BC!N137+'DYT Galleria'!N115+Apartment!N130+Transportation!N118</f>
        <v>3208</v>
      </c>
      <c r="O85" s="90">
        <f>'Health Club'!O144+Telephone!O122+'Guest Laundry'!O124+BC!O137+'DYT Galleria'!O115+Apartment!O130+Transportation!O118</f>
        <v>3208</v>
      </c>
      <c r="P85" s="90">
        <f>'Health Club'!P144+Telephone!P122+'Guest Laundry'!P124+BC!P137+'DYT Galleria'!P115+Apartment!P130+Transportation!P118</f>
        <v>3208</v>
      </c>
      <c r="Q85" s="61">
        <f t="shared" si="34"/>
        <v>38064</v>
      </c>
      <c r="R85" s="39">
        <f t="shared" si="32"/>
        <v>6.550335570469798E-2</v>
      </c>
      <c r="S85" s="39"/>
      <c r="T85" s="35"/>
      <c r="U85" s="40" t="e">
        <f t="shared" si="33"/>
        <v>#DIV/0!</v>
      </c>
    </row>
    <row r="86" spans="1:21" s="3" customFormat="1" ht="25.4" customHeight="1">
      <c r="A86" s="254" t="s">
        <v>615</v>
      </c>
      <c r="B86" s="51" t="s">
        <v>715</v>
      </c>
      <c r="D86" s="26" t="s">
        <v>332</v>
      </c>
      <c r="E86" s="90">
        <f>'Health Club'!E145+Telephone!E123+'Guest Laundry'!E125+BC!E138+'DYT Galleria'!E116+Apartment!E131+Transportation!E119</f>
        <v>754</v>
      </c>
      <c r="F86" s="90">
        <f>'Health Club'!F145+Telephone!F123+'Guest Laundry'!F125+BC!F138+'DYT Galleria'!F116+Apartment!F131+Transportation!F119</f>
        <v>862</v>
      </c>
      <c r="G86" s="90">
        <f>'Health Club'!G145+Telephone!G123+'Guest Laundry'!G125+BC!G138+'DYT Galleria'!G116+Apartment!G131+Transportation!G119</f>
        <v>862</v>
      </c>
      <c r="H86" s="90">
        <f>'Health Club'!H145+Telephone!H123+'Guest Laundry'!H125+BC!H138+'DYT Galleria'!H116+Apartment!H131+Transportation!H119</f>
        <v>862</v>
      </c>
      <c r="I86" s="90">
        <f>'Health Club'!I145+Telephone!I123+'Guest Laundry'!I125+BC!I138+'DYT Galleria'!I116+Apartment!I131+Transportation!I119</f>
        <v>862</v>
      </c>
      <c r="J86" s="90">
        <f>'Health Club'!J145+Telephone!J123+'Guest Laundry'!J125+BC!J138+'DYT Galleria'!J116+Apartment!J131+Transportation!J119</f>
        <v>862</v>
      </c>
      <c r="K86" s="90">
        <f>'Health Club'!K145+Telephone!K123+'Guest Laundry'!K125+BC!K138+'DYT Galleria'!K116+Apartment!K131+Transportation!K119</f>
        <v>862</v>
      </c>
      <c r="L86" s="90">
        <f>'Health Club'!L145+Telephone!L123+'Guest Laundry'!L125+BC!L138+'DYT Galleria'!L116+Apartment!L131+Transportation!L119</f>
        <v>862</v>
      </c>
      <c r="M86" s="90">
        <f>'Health Club'!M145+Telephone!M123+'Guest Laundry'!M125+BC!M138+'DYT Galleria'!M116+Apartment!M131+Transportation!M119</f>
        <v>862</v>
      </c>
      <c r="N86" s="90">
        <f>'Health Club'!N145+Telephone!N123+'Guest Laundry'!N125+BC!N138+'DYT Galleria'!N116+Apartment!N131+Transportation!N119</f>
        <v>862</v>
      </c>
      <c r="O86" s="90">
        <f>'Health Club'!O145+Telephone!O123+'Guest Laundry'!O125+BC!O138+'DYT Galleria'!O116+Apartment!O131+Transportation!O119</f>
        <v>862</v>
      </c>
      <c r="P86" s="90">
        <f>'Health Club'!P145+Telephone!P123+'Guest Laundry'!P125+BC!P138+'DYT Galleria'!P116+Apartment!P131+Transportation!P119</f>
        <v>862</v>
      </c>
      <c r="Q86" s="61">
        <f t="shared" ref="Q86:Q87" si="35">SUM(E86:P86)</f>
        <v>10236</v>
      </c>
      <c r="R86" s="39">
        <f t="shared" si="32"/>
        <v>1.7614868353123387E-2</v>
      </c>
      <c r="S86" s="39"/>
      <c r="T86" s="35"/>
      <c r="U86" s="40" t="e">
        <f t="shared" si="33"/>
        <v>#DIV/0!</v>
      </c>
    </row>
    <row r="87" spans="1:21" s="3" customFormat="1" ht="25.4" customHeight="1">
      <c r="A87" s="254" t="s">
        <v>616</v>
      </c>
      <c r="B87" s="51" t="s">
        <v>715</v>
      </c>
      <c r="D87" s="26" t="s">
        <v>334</v>
      </c>
      <c r="E87" s="90">
        <f>'Health Club'!E146+Telephone!E124+'Guest Laundry'!E126+BC!E139+'DYT Galleria'!E117+Apartment!E132+Transportation!E120</f>
        <v>0</v>
      </c>
      <c r="F87" s="90">
        <f>'Health Club'!F146+Telephone!F124+'Guest Laundry'!F126+BC!F139+'DYT Galleria'!F117+Apartment!F132+Transportation!F120</f>
        <v>0</v>
      </c>
      <c r="G87" s="90">
        <f>'Health Club'!G146+Telephone!G124+'Guest Laundry'!G126+BC!G139+'DYT Galleria'!G117+Apartment!G132+Transportation!G120</f>
        <v>0</v>
      </c>
      <c r="H87" s="90">
        <f>'Health Club'!H146+Telephone!H124+'Guest Laundry'!H126+BC!H139+'DYT Galleria'!H117+Apartment!H132+Transportation!H120</f>
        <v>0</v>
      </c>
      <c r="I87" s="90">
        <f>'Health Club'!I146+Telephone!I124+'Guest Laundry'!I126+BC!I139+'DYT Galleria'!I117+Apartment!I132+Transportation!I120</f>
        <v>0</v>
      </c>
      <c r="J87" s="90">
        <f>'Health Club'!J146+Telephone!J124+'Guest Laundry'!J126+BC!J139+'DYT Galleria'!J117+Apartment!J132+Transportation!J120</f>
        <v>0</v>
      </c>
      <c r="K87" s="90">
        <f>'Health Club'!K146+Telephone!K124+'Guest Laundry'!K126+BC!K139+'DYT Galleria'!K117+Apartment!K132+Transportation!K120</f>
        <v>0</v>
      </c>
      <c r="L87" s="90">
        <f>'Health Club'!L146+Telephone!L124+'Guest Laundry'!L126+BC!L139+'DYT Galleria'!L117+Apartment!L132+Transportation!L120</f>
        <v>0</v>
      </c>
      <c r="M87" s="90">
        <f>'Health Club'!M146+Telephone!M124+'Guest Laundry'!M126+BC!M139+'DYT Galleria'!M117+Apartment!M132+Transportation!M120</f>
        <v>0</v>
      </c>
      <c r="N87" s="90">
        <f>'Health Club'!N146+Telephone!N124+'Guest Laundry'!N126+BC!N139+'DYT Galleria'!N117+Apartment!N132+Transportation!N120</f>
        <v>0</v>
      </c>
      <c r="O87" s="90">
        <f>'Health Club'!O146+Telephone!O124+'Guest Laundry'!O126+BC!O139+'DYT Galleria'!O117+Apartment!O132+Transportation!O120</f>
        <v>0</v>
      </c>
      <c r="P87" s="90">
        <f>'Health Club'!P146+Telephone!P124+'Guest Laundry'!P126+BC!P139+'DYT Galleria'!P117+Apartment!P132+Transportation!P120</f>
        <v>0</v>
      </c>
      <c r="Q87" s="61">
        <f t="shared" si="35"/>
        <v>0</v>
      </c>
      <c r="R87" s="39">
        <f t="shared" si="32"/>
        <v>0</v>
      </c>
      <c r="S87" s="39"/>
      <c r="T87" s="35"/>
      <c r="U87" s="40">
        <f t="shared" si="33"/>
        <v>0</v>
      </c>
    </row>
    <row r="88" spans="1:21" s="19" customFormat="1" ht="25.4" customHeight="1">
      <c r="A88" s="54"/>
      <c r="B88" s="51"/>
      <c r="D88" s="19" t="s">
        <v>335</v>
      </c>
      <c r="E88" s="45">
        <f>SUM(E80:E87)</f>
        <v>11375.48</v>
      </c>
      <c r="F88" s="45">
        <f t="shared" ref="F88:Q88" si="36">SUM(F80:F87)</f>
        <v>13114.279999999999</v>
      </c>
      <c r="G88" s="45">
        <f t="shared" si="36"/>
        <v>13114.279999999999</v>
      </c>
      <c r="H88" s="45">
        <f t="shared" si="36"/>
        <v>13114.279999999999</v>
      </c>
      <c r="I88" s="45">
        <f t="shared" si="36"/>
        <v>13114.279999999999</v>
      </c>
      <c r="J88" s="45">
        <f t="shared" si="36"/>
        <v>13114.279999999999</v>
      </c>
      <c r="K88" s="45">
        <f t="shared" si="36"/>
        <v>13114.279999999999</v>
      </c>
      <c r="L88" s="45">
        <f t="shared" si="36"/>
        <v>13114.279999999999</v>
      </c>
      <c r="M88" s="45">
        <f t="shared" si="36"/>
        <v>13114.279999999999</v>
      </c>
      <c r="N88" s="45">
        <f t="shared" si="36"/>
        <v>13114.279999999999</v>
      </c>
      <c r="O88" s="45">
        <f t="shared" si="36"/>
        <v>13114.279999999999</v>
      </c>
      <c r="P88" s="45">
        <f t="shared" si="36"/>
        <v>13114.279999999999</v>
      </c>
      <c r="Q88" s="45">
        <f t="shared" si="36"/>
        <v>155632.56</v>
      </c>
      <c r="R88" s="39">
        <f t="shared" si="32"/>
        <v>0.26782405782137325</v>
      </c>
      <c r="S88" s="39"/>
      <c r="T88" s="35"/>
      <c r="U88" s="40" t="e">
        <f t="shared" si="33"/>
        <v>#DIV/0!</v>
      </c>
    </row>
    <row r="89" spans="1:21" s="19" customFormat="1" ht="25.4" customHeight="1">
      <c r="A89" s="54"/>
      <c r="B89" s="51"/>
      <c r="D89" s="21"/>
      <c r="E89" s="55"/>
      <c r="F89" s="130"/>
      <c r="G89" s="55"/>
      <c r="H89" s="130"/>
      <c r="I89" s="55"/>
      <c r="J89" s="130"/>
      <c r="K89" s="56"/>
      <c r="L89" s="132"/>
      <c r="M89" s="56"/>
      <c r="N89" s="130"/>
      <c r="O89" s="3"/>
      <c r="P89" s="3"/>
      <c r="Q89" s="3"/>
      <c r="R89" s="3"/>
      <c r="T89" s="35"/>
      <c r="U89" s="40"/>
    </row>
    <row r="90" spans="1:21" s="3" customFormat="1" ht="25.4" hidden="1" customHeight="1">
      <c r="A90" s="3" t="s">
        <v>336</v>
      </c>
      <c r="B90" s="51" t="s">
        <v>714</v>
      </c>
      <c r="D90" s="26" t="s">
        <v>337</v>
      </c>
      <c r="E90" s="63">
        <v>0</v>
      </c>
      <c r="F90" s="59">
        <v>0</v>
      </c>
      <c r="G90" s="43">
        <v>0</v>
      </c>
      <c r="H90" s="59">
        <v>0</v>
      </c>
      <c r="I90" s="63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61">
        <v>0</v>
      </c>
      <c r="P90" s="61">
        <v>0</v>
      </c>
      <c r="Q90" s="61">
        <f>SUM(E90:P90)</f>
        <v>0</v>
      </c>
      <c r="T90" s="35"/>
      <c r="U90" s="40">
        <f>-IF(Q90-T90=0,0,(Q90-T90)/T90)</f>
        <v>0</v>
      </c>
    </row>
    <row r="91" spans="1:21" s="3" customFormat="1" ht="25.4" hidden="1" customHeight="1">
      <c r="A91" s="3" t="s">
        <v>338</v>
      </c>
      <c r="B91" s="51" t="s">
        <v>714</v>
      </c>
      <c r="D91" s="3" t="s">
        <v>339</v>
      </c>
      <c r="E91" s="63">
        <v>0</v>
      </c>
      <c r="F91" s="59">
        <v>0</v>
      </c>
      <c r="G91" s="43">
        <v>0</v>
      </c>
      <c r="H91" s="59">
        <v>0</v>
      </c>
      <c r="I91" s="63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61">
        <v>0</v>
      </c>
      <c r="P91" s="61">
        <v>0</v>
      </c>
      <c r="Q91" s="61">
        <f t="shared" ref="Q91:Q96" si="37">SUM(E91:P91)</f>
        <v>0</v>
      </c>
      <c r="T91" s="35"/>
      <c r="U91" s="40">
        <f>-IF(Q91-T91=0,0,(Q91-T91)/T91)</f>
        <v>0</v>
      </c>
    </row>
    <row r="92" spans="1:21" s="3" customFormat="1" ht="25.4" hidden="1" customHeight="1">
      <c r="A92" s="3" t="s">
        <v>340</v>
      </c>
      <c r="B92" s="51" t="s">
        <v>714</v>
      </c>
      <c r="D92" s="26" t="s">
        <v>341</v>
      </c>
      <c r="E92" s="63">
        <v>0</v>
      </c>
      <c r="F92" s="59">
        <v>0</v>
      </c>
      <c r="G92" s="43">
        <v>0</v>
      </c>
      <c r="H92" s="59">
        <v>0</v>
      </c>
      <c r="I92" s="63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61">
        <v>0</v>
      </c>
      <c r="P92" s="61">
        <v>0</v>
      </c>
      <c r="Q92" s="61">
        <f t="shared" si="37"/>
        <v>0</v>
      </c>
      <c r="T92" s="35"/>
      <c r="U92" s="40">
        <f>-IF(Q92-T92=0,0,(Q92-T92)/T92)</f>
        <v>0</v>
      </c>
    </row>
    <row r="93" spans="1:21" s="3" customFormat="1" ht="25.4" hidden="1" customHeight="1">
      <c r="A93" s="3" t="s">
        <v>342</v>
      </c>
      <c r="B93" s="51" t="s">
        <v>714</v>
      </c>
      <c r="D93" s="26" t="s">
        <v>343</v>
      </c>
      <c r="E93" s="63">
        <v>0</v>
      </c>
      <c r="F93" s="59">
        <v>0</v>
      </c>
      <c r="G93" s="43">
        <v>0</v>
      </c>
      <c r="H93" s="59">
        <v>0</v>
      </c>
      <c r="I93" s="63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61">
        <v>0</v>
      </c>
      <c r="P93" s="61">
        <v>0</v>
      </c>
      <c r="Q93" s="61">
        <f t="shared" si="37"/>
        <v>0</v>
      </c>
      <c r="T93" s="35"/>
      <c r="U93" s="40">
        <f>-IF(Q93-T93=0,0,(Q93-T93)/T93)</f>
        <v>0</v>
      </c>
    </row>
    <row r="94" spans="1:21" s="3" customFormat="1" ht="25.4" customHeight="1">
      <c r="A94" s="3" t="s">
        <v>344</v>
      </c>
      <c r="B94" s="51" t="s">
        <v>714</v>
      </c>
      <c r="D94" s="26" t="s">
        <v>345</v>
      </c>
      <c r="E94" s="63">
        <f>'Health Club'!E153+Telephone!E131+'Guest Laundry'!E133+BC!E146+'DYT Galleria'!E124+Apartment!E139+Transportation!E127</f>
        <v>420</v>
      </c>
      <c r="F94" s="63">
        <f>'Health Club'!F153+Telephone!F131+'Guest Laundry'!F133+BC!F146+'DYT Galleria'!F124+Apartment!F139+Transportation!F127</f>
        <v>640</v>
      </c>
      <c r="G94" s="63">
        <f>'Health Club'!G153+Telephone!G131+'Guest Laundry'!G133+BC!G146+'DYT Galleria'!G124+Apartment!G139+Transportation!G127</f>
        <v>480</v>
      </c>
      <c r="H94" s="63">
        <f>'Health Club'!H153+Telephone!H131+'Guest Laundry'!H133+BC!H146+'DYT Galleria'!H124+Apartment!H139+Transportation!H127</f>
        <v>480</v>
      </c>
      <c r="I94" s="63">
        <f>'Health Club'!I153+Telephone!I131+'Guest Laundry'!I133+BC!I146+'DYT Galleria'!I124+Apartment!I139+Transportation!I127</f>
        <v>480</v>
      </c>
      <c r="J94" s="63">
        <f>'Health Club'!J153+Telephone!J131+'Guest Laundry'!J133+BC!J146+'DYT Galleria'!J124+Apartment!J139+Transportation!J127</f>
        <v>480</v>
      </c>
      <c r="K94" s="63">
        <f>'Health Club'!K153+Telephone!K131+'Guest Laundry'!K133+BC!K146+'DYT Galleria'!K124+Apartment!K139+Transportation!K127</f>
        <v>480</v>
      </c>
      <c r="L94" s="63">
        <f>'Health Club'!L153+Telephone!L131+'Guest Laundry'!L133+BC!L146+'DYT Galleria'!L124+Apartment!L139+Transportation!L127</f>
        <v>480</v>
      </c>
      <c r="M94" s="63">
        <f>'Health Club'!M153+Telephone!M131+'Guest Laundry'!M133+BC!M146+'DYT Galleria'!M124+Apartment!M139+Transportation!M127</f>
        <v>480</v>
      </c>
      <c r="N94" s="63">
        <f>'Health Club'!N153+Telephone!N131+'Guest Laundry'!N133+BC!N146+'DYT Galleria'!N124+Apartment!N139+Transportation!N127</f>
        <v>480</v>
      </c>
      <c r="O94" s="63">
        <f>'Health Club'!O153+Telephone!O131+'Guest Laundry'!O133+BC!O146+'DYT Galleria'!O124+Apartment!O139+Transportation!O127</f>
        <v>480</v>
      </c>
      <c r="P94" s="63">
        <f>'Health Club'!P153+Telephone!P131+'Guest Laundry'!P133+BC!P146+'DYT Galleria'!P124+Apartment!P139+Transportation!P127</f>
        <v>480</v>
      </c>
      <c r="Q94" s="61">
        <f t="shared" si="37"/>
        <v>5860</v>
      </c>
      <c r="R94" s="39">
        <f>Q94/$Q$27</f>
        <v>1.0084322836000689E-2</v>
      </c>
      <c r="S94" s="39"/>
      <c r="T94" s="35"/>
      <c r="U94" s="40" t="e">
        <f>-IF(Q94-T94=0,0,(Q94-T94)/T94)</f>
        <v>#DIV/0!</v>
      </c>
    </row>
    <row r="95" spans="1:21" s="3" customFormat="1" ht="25.4" customHeight="1">
      <c r="A95" s="3" t="s">
        <v>346</v>
      </c>
      <c r="B95" s="51" t="s">
        <v>714</v>
      </c>
      <c r="D95" s="26" t="s">
        <v>347</v>
      </c>
      <c r="E95" s="63">
        <f>'Health Club'!E154+Telephone!E132+'Guest Laundry'!E134+BC!E147+'DYT Galleria'!E125+Apartment!E140+Transportation!E128</f>
        <v>2490.11</v>
      </c>
      <c r="F95" s="63">
        <f>'Health Club'!F154+Telephone!F132+'Guest Laundry'!F134+BC!F147+'DYT Galleria'!F125+Apartment!F140+Transportation!F128</f>
        <v>2834.64</v>
      </c>
      <c r="G95" s="63">
        <f>'Health Club'!G154+Telephone!G132+'Guest Laundry'!G134+BC!G147+'DYT Galleria'!G125+Apartment!G140+Transportation!G128</f>
        <v>2823.52</v>
      </c>
      <c r="H95" s="63">
        <f>'Health Club'!H154+Telephone!H132+'Guest Laundry'!H134+BC!H147+'DYT Galleria'!H125+Apartment!H140+Transportation!H128</f>
        <v>2812.48</v>
      </c>
      <c r="I95" s="63">
        <f>'Health Club'!I154+Telephone!I132+'Guest Laundry'!I134+BC!I147+'DYT Galleria'!I125+Apartment!I140+Transportation!I128</f>
        <v>2737.68</v>
      </c>
      <c r="J95" s="63">
        <f>'Health Club'!J154+Telephone!J132+'Guest Laundry'!J134+BC!J147+'DYT Galleria'!J125+Apartment!J140+Transportation!J128</f>
        <v>2696.64</v>
      </c>
      <c r="K95" s="63">
        <f>'Health Club'!K154+Telephone!K132+'Guest Laundry'!K134+BC!K147+'DYT Galleria'!K125+Apartment!K140+Transportation!K128</f>
        <v>2647.0400000000004</v>
      </c>
      <c r="L95" s="63">
        <f>'Health Club'!L154+Telephone!L132+'Guest Laundry'!L134+BC!L147+'DYT Galleria'!L125+Apartment!L140+Transportation!L128</f>
        <v>2647.0400000000004</v>
      </c>
      <c r="M95" s="63">
        <f>'Health Club'!M154+Telephone!M132+'Guest Laundry'!M134+BC!M147+'DYT Galleria'!M125+Apartment!M140+Transportation!M128</f>
        <v>2627.76</v>
      </c>
      <c r="N95" s="63">
        <f>'Health Club'!N154+Telephone!N132+'Guest Laundry'!N134+BC!N147+'DYT Galleria'!N125+Apartment!N140+Transportation!N128</f>
        <v>2608.7199999999998</v>
      </c>
      <c r="O95" s="63">
        <f>'Health Club'!O154+Telephone!O132+'Guest Laundry'!O134+BC!O147+'DYT Galleria'!O125+Apartment!O140+Transportation!O128</f>
        <v>2599.2800000000002</v>
      </c>
      <c r="P95" s="63">
        <f>'Health Club'!P154+Telephone!P132+'Guest Laundry'!P134+BC!P147+'DYT Galleria'!P125+Apartment!P140+Transportation!P128</f>
        <v>2589.92</v>
      </c>
      <c r="Q95" s="61">
        <f t="shared" si="37"/>
        <v>32114.83</v>
      </c>
      <c r="R95" s="39">
        <f>Q95/$Q$27</f>
        <v>5.5265582515918087E-2</v>
      </c>
      <c r="S95" s="39"/>
      <c r="T95" s="35"/>
      <c r="U95" s="40"/>
    </row>
    <row r="96" spans="1:21" s="3" customFormat="1" ht="25.4" customHeight="1">
      <c r="A96" s="3" t="s">
        <v>348</v>
      </c>
      <c r="B96" s="51" t="s">
        <v>714</v>
      </c>
      <c r="D96" s="26" t="s">
        <v>349</v>
      </c>
      <c r="E96" s="63">
        <f>'Health Club'!E155+Telephone!E133+'Guest Laundry'!E135+BC!E148+'DYT Galleria'!E126+Apartment!E141+Transportation!E129</f>
        <v>7372.75</v>
      </c>
      <c r="F96" s="63">
        <f>'Health Club'!F155+Telephone!F133+'Guest Laundry'!F135+BC!F148+'DYT Galleria'!F126+Apartment!F141+Transportation!F129</f>
        <v>8287.1200000000008</v>
      </c>
      <c r="G96" s="63">
        <f>'Health Club'!G155+Telephone!G133+'Guest Laundry'!G135+BC!G148+'DYT Galleria'!G126+Apartment!G141+Transportation!G129</f>
        <v>8178.88</v>
      </c>
      <c r="H96" s="63">
        <f>'Health Club'!H155+Telephone!H133+'Guest Laundry'!H135+BC!H148+'DYT Galleria'!H126+Apartment!H141+Transportation!H129</f>
        <v>8215.8399999999983</v>
      </c>
      <c r="I96" s="63">
        <f>'Health Club'!I155+Telephone!I133+'Guest Laundry'!I135+BC!I148+'DYT Galleria'!I126+Apartment!I141+Transportation!I129</f>
        <v>8049.3600000000006</v>
      </c>
      <c r="J96" s="63">
        <f>'Health Club'!J155+Telephone!J133+'Guest Laundry'!J135+BC!J148+'DYT Galleria'!J126+Apartment!J141+Transportation!J129</f>
        <v>7908.880000000001</v>
      </c>
      <c r="K96" s="63">
        <f>'Health Club'!K155+Telephone!K133+'Guest Laundry'!K135+BC!K148+'DYT Galleria'!K126+Apartment!K141+Transportation!K129</f>
        <v>7845.0399999999972</v>
      </c>
      <c r="L96" s="63">
        <f>'Health Club'!L155+Telephone!L133+'Guest Laundry'!L135+BC!L148+'DYT Galleria'!L126+Apartment!L141+Transportation!L129</f>
        <v>7859.3599999999988</v>
      </c>
      <c r="M96" s="63">
        <f>'Health Club'!M155+Telephone!M133+'Guest Laundry'!M135+BC!M148+'DYT Galleria'!M126+Apartment!M141+Transportation!M129</f>
        <v>7891.199999999998</v>
      </c>
      <c r="N96" s="63">
        <f>'Health Club'!N155+Telephone!N133+'Guest Laundry'!N135+BC!N148+'DYT Galleria'!N126+Apartment!N141+Transportation!N129</f>
        <v>7949.6799999999976</v>
      </c>
      <c r="O96" s="63">
        <f>'Health Club'!O155+Telephone!O133+'Guest Laundry'!O135+BC!O148+'DYT Galleria'!O126+Apartment!O141+Transportation!O129</f>
        <v>7852.6400000000012</v>
      </c>
      <c r="P96" s="63">
        <f>'Health Club'!P155+Telephone!P133+'Guest Laundry'!P135+BC!P148+'DYT Galleria'!P126+Apartment!P141+Transportation!P129</f>
        <v>7827.3599999999988</v>
      </c>
      <c r="Q96" s="61">
        <f t="shared" si="37"/>
        <v>95238.109999999986</v>
      </c>
      <c r="R96" s="39">
        <f>Q96/$Q$27</f>
        <v>0.16389280674582685</v>
      </c>
      <c r="S96" s="39"/>
      <c r="T96" s="35"/>
      <c r="U96" s="40" t="e">
        <f>-IF(Q96-T96=0,0,(Q96-T96)/T96)</f>
        <v>#DIV/0!</v>
      </c>
    </row>
    <row r="97" spans="1:21" s="3" customFormat="1" ht="25.4" customHeight="1">
      <c r="B97" s="51"/>
      <c r="D97" s="19" t="s">
        <v>350</v>
      </c>
      <c r="E97" s="52">
        <f>SUM(E90:E96)</f>
        <v>10282.86</v>
      </c>
      <c r="F97" s="52">
        <f t="shared" ref="F97:Q97" si="38">SUM(F90:F96)</f>
        <v>11761.76</v>
      </c>
      <c r="G97" s="52">
        <f t="shared" si="38"/>
        <v>11482.4</v>
      </c>
      <c r="H97" s="52">
        <f t="shared" si="38"/>
        <v>11508.319999999998</v>
      </c>
      <c r="I97" s="52">
        <f t="shared" si="38"/>
        <v>11267.04</v>
      </c>
      <c r="J97" s="52">
        <f t="shared" si="38"/>
        <v>11085.52</v>
      </c>
      <c r="K97" s="52">
        <f t="shared" si="38"/>
        <v>10972.079999999998</v>
      </c>
      <c r="L97" s="52">
        <f t="shared" si="38"/>
        <v>10986.4</v>
      </c>
      <c r="M97" s="52">
        <f t="shared" si="38"/>
        <v>10998.96</v>
      </c>
      <c r="N97" s="52">
        <f t="shared" si="38"/>
        <v>11038.399999999998</v>
      </c>
      <c r="O97" s="52">
        <f t="shared" si="38"/>
        <v>10931.920000000002</v>
      </c>
      <c r="P97" s="52">
        <f t="shared" si="38"/>
        <v>10897.279999999999</v>
      </c>
      <c r="Q97" s="52">
        <f t="shared" si="38"/>
        <v>133212.94</v>
      </c>
      <c r="R97" s="39">
        <f>Q97/$Q$27</f>
        <v>0.22924271209774566</v>
      </c>
      <c r="S97" s="39"/>
      <c r="T97" s="35"/>
      <c r="U97" s="40" t="e">
        <f>-IF(Q97-T97=0,0,(Q97-T97)/T97)</f>
        <v>#DIV/0!</v>
      </c>
    </row>
    <row r="98" spans="1:21" s="3" customFormat="1" ht="25.4" customHeight="1">
      <c r="A98" s="54"/>
      <c r="B98" s="51"/>
      <c r="D98" s="19" t="s">
        <v>351</v>
      </c>
      <c r="E98" s="52">
        <f>E69+E78+E88+E97</f>
        <v>76727.710000000006</v>
      </c>
      <c r="F98" s="52">
        <f t="shared" ref="F98:Q98" si="39">F69+F78+F88+F97</f>
        <v>76117.08</v>
      </c>
      <c r="G98" s="52">
        <f t="shared" si="39"/>
        <v>76644.989999999991</v>
      </c>
      <c r="H98" s="52">
        <f t="shared" si="39"/>
        <v>87116.309999999983</v>
      </c>
      <c r="I98" s="52">
        <f t="shared" si="39"/>
        <v>108072</v>
      </c>
      <c r="J98" s="52">
        <f t="shared" si="39"/>
        <v>101341.79</v>
      </c>
      <c r="K98" s="52">
        <f t="shared" si="39"/>
        <v>101196.44</v>
      </c>
      <c r="L98" s="52">
        <f t="shared" si="39"/>
        <v>101217.91999999998</v>
      </c>
      <c r="M98" s="52">
        <f t="shared" si="39"/>
        <v>101246.41</v>
      </c>
      <c r="N98" s="52">
        <f t="shared" si="39"/>
        <v>116360.12</v>
      </c>
      <c r="O98" s="52">
        <f t="shared" si="39"/>
        <v>76053.73</v>
      </c>
      <c r="P98" s="52">
        <f t="shared" si="39"/>
        <v>76015.929999999993</v>
      </c>
      <c r="Q98" s="379">
        <f t="shared" si="39"/>
        <v>1098110.43</v>
      </c>
      <c r="R98" s="39">
        <f>Q98/$Q$27</f>
        <v>1.8897099122354155</v>
      </c>
      <c r="S98" s="39"/>
      <c r="T98" s="35"/>
      <c r="U98" s="40" t="e">
        <f>-IF(Q98-T98=0,0,(Q98-T98)/T98)</f>
        <v>#DIV/0!</v>
      </c>
    </row>
    <row r="99" spans="1:21" s="3" customFormat="1" ht="25.4" customHeight="1">
      <c r="A99" s="54"/>
      <c r="B99" s="51"/>
      <c r="D99" s="21"/>
      <c r="E99" s="53"/>
      <c r="F99" s="130"/>
      <c r="G99" s="53"/>
      <c r="H99" s="130"/>
      <c r="I99" s="53"/>
      <c r="J99" s="130"/>
      <c r="K99" s="56"/>
      <c r="L99" s="132"/>
      <c r="M99" s="56"/>
      <c r="N99" s="130"/>
      <c r="Q99" s="3">
        <f>Q98-Q76-Q77</f>
        <v>829575.45</v>
      </c>
      <c r="T99" s="35"/>
      <c r="U99" s="40"/>
    </row>
    <row r="100" spans="1:21" s="3" customFormat="1" ht="25.4" customHeight="1">
      <c r="A100" s="254" t="s">
        <v>108</v>
      </c>
      <c r="B100" s="51" t="s">
        <v>714</v>
      </c>
      <c r="D100" s="19" t="s">
        <v>354</v>
      </c>
      <c r="E100" s="131">
        <f>'Health Club'!E159+Telephone!E137+'Guest Laundry'!E139+BC!E152+'DYT Galleria'!E130+Apartment!E145+Transportation!E133</f>
        <v>8</v>
      </c>
      <c r="F100" s="131">
        <f>'Health Club'!F159+Telephone!F137+'Guest Laundry'!F139+BC!F152+'DYT Galleria'!F130+Apartment!F145+Transportation!F133</f>
        <v>9</v>
      </c>
      <c r="G100" s="131">
        <f>'Health Club'!G159+Telephone!G137+'Guest Laundry'!G139+BC!G152+'DYT Galleria'!G130+Apartment!G145+Transportation!G133</f>
        <v>9</v>
      </c>
      <c r="H100" s="131">
        <f>'Health Club'!H159+Telephone!H137+'Guest Laundry'!H139+BC!H152+'DYT Galleria'!H130+Apartment!H145+Transportation!H133</f>
        <v>10</v>
      </c>
      <c r="I100" s="131">
        <f>'Health Club'!I159+Telephone!I137+'Guest Laundry'!I139+BC!I152+'DYT Galleria'!I130+Apartment!I145+Transportation!I133</f>
        <v>12</v>
      </c>
      <c r="J100" s="131">
        <f>'Health Club'!J159+Telephone!J137+'Guest Laundry'!J139+BC!J152+'DYT Galleria'!J130+Apartment!J145+Transportation!J133</f>
        <v>12</v>
      </c>
      <c r="K100" s="131">
        <f>'Health Club'!K159+Telephone!K137+'Guest Laundry'!K139+BC!K152+'DYT Galleria'!K130+Apartment!K145+Transportation!K133</f>
        <v>12</v>
      </c>
      <c r="L100" s="131">
        <f>'Health Club'!L159+Telephone!L137+'Guest Laundry'!L139+BC!L152+'DYT Galleria'!L130+Apartment!L145+Transportation!L133</f>
        <v>12</v>
      </c>
      <c r="M100" s="131">
        <f>'Health Club'!M159+Telephone!M137+'Guest Laundry'!M139+BC!M152+'DYT Galleria'!M130+Apartment!M145+Transportation!M133</f>
        <v>12</v>
      </c>
      <c r="N100" s="131">
        <f>'Health Club'!N159+Telephone!N137+'Guest Laundry'!N139+BC!N152+'DYT Galleria'!N130+Apartment!N145+Transportation!N133</f>
        <v>13</v>
      </c>
      <c r="O100" s="131">
        <f>'Health Club'!O159+Telephone!O137+'Guest Laundry'!O139+BC!O152+'DYT Galleria'!O130+Apartment!O145+Transportation!O133</f>
        <v>9</v>
      </c>
      <c r="P100" s="131">
        <f>'Health Club'!P159+Telephone!P137+'Guest Laundry'!P139+BC!P152+'DYT Galleria'!P130+Apartment!P145+Transportation!P133</f>
        <v>9</v>
      </c>
      <c r="Q100" s="133">
        <f>SUM(E100:P100)/12</f>
        <v>10.583333333333334</v>
      </c>
      <c r="T100" s="35"/>
      <c r="U100" s="40" t="e">
        <f>-IF(Q100-T100=0,0,(Q100-T100)/T100)</f>
        <v>#DIV/0!</v>
      </c>
    </row>
    <row r="103" spans="1:21" ht="26.25" customHeight="1">
      <c r="P103" s="231" t="s">
        <v>1060</v>
      </c>
      <c r="Q103" s="232">
        <f>+Q69+Q78</f>
        <v>809264.92999999993</v>
      </c>
    </row>
    <row r="104" spans="1:21" ht="26.25" customHeight="1">
      <c r="P104" s="231" t="s">
        <v>788</v>
      </c>
      <c r="Q104" s="232">
        <f>+Q88+Q97</f>
        <v>288845.5</v>
      </c>
    </row>
    <row r="105" spans="1:21" ht="26.25" customHeight="1">
      <c r="P105" s="174"/>
      <c r="Q105" s="232">
        <f>SUM(Q103:Q104)-Q98</f>
        <v>0</v>
      </c>
    </row>
  </sheetData>
  <phoneticPr fontId="56" type="noConversion"/>
  <dataValidations count="46">
    <dataValidation type="textLength" errorStyle="information" allowBlank="1" showInputMessage="1" showErrorMessage="1" error="XLBVal:6=1531.53_x000d__x000a_" sqref="E20:P20">
      <formula1>0</formula1>
      <formula2>300</formula2>
    </dataValidation>
    <dataValidation type="textLength" errorStyle="information" allowBlank="1" showInputMessage="1" showErrorMessage="1" error="XLBVal:6=24.37_x000d__x000a_" sqref="E19:P19">
      <formula1>0</formula1>
      <formula2>300</formula2>
    </dataValidation>
    <dataValidation type="textLength" errorStyle="information" allowBlank="1" showInputMessage="1" showErrorMessage="1" error="XLBVal:6=11232_x000d__x000a_" sqref="Q100">
      <formula1>0</formula1>
      <formula2>300</formula2>
    </dataValidation>
    <dataValidation type="textLength" errorStyle="information" allowBlank="1" showInputMessage="1" showErrorMessage="1" error="XLBVal:5=.526318345011041_x000d__x000a_" sqref="J29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2=0_x000d__x000a_" sqref="E12:Q12 E25:P25 G26:P26 I28 E30:P30 Q31 Q33 Q36 Q87 G28:G29 Q13:Q26 Q67:Q68 E43:P44 E21:P23 E39:P41 E90:Q96 E15:P18 E32:P37">
      <formula1>0</formula1>
      <formula2>300</formula2>
    </dataValidation>
    <dataValidation type="textLength" errorStyle="information" allowBlank="1" showInputMessage="1" showErrorMessage="1" error="XLBVal:6=45043.68_x000d__x000a_" sqref="E13:P13">
      <formula1>0</formula1>
      <formula2>300</formula2>
    </dataValidation>
    <dataValidation type="textLength" errorStyle="information" allowBlank="1" showInputMessage="1" showErrorMessage="1" error="XLBVal:6=0_x000d__x000a_" sqref="E14:P14">
      <formula1>0</formula1>
      <formula2>300</formula2>
    </dataValidation>
    <dataValidation type="textLength" errorStyle="information" allowBlank="1" showInputMessage="1" showErrorMessage="1" error="XLBVal:6=12231.9_x000d__x000a_" sqref="E24:P24">
      <formula1>0</formula1>
      <formula2>300</formula2>
    </dataValidation>
    <dataValidation type="textLength" errorStyle="information" allowBlank="1" showInputMessage="1" showErrorMessage="1" error="XLBVal:6=6595485.04_x000d__x000a_" sqref="I29">
      <formula1>0</formula1>
      <formula2>300</formula2>
    </dataValidation>
    <dataValidation type="textLength" errorStyle="information" allowBlank="1" showInputMessage="1" showErrorMessage="1" error="XLBVal:6=3005.67_x000d__x000a_" sqref="E26">
      <formula1>0</formula1>
      <formula2>300</formula2>
    </dataValidation>
    <dataValidation type="textLength" errorStyle="information" allowBlank="1" showInputMessage="1" showErrorMessage="1" error="XLBVal:5=-2586288.67_x000d__x000a_" sqref="K29">
      <formula1>0</formula1>
      <formula2>300</formula2>
    </dataValidation>
    <dataValidation type="textLength" errorStyle="information" allowBlank="1" showInputMessage="1" showErrorMessage="1" error="XLBVal:5=1.05855104228974_x000d__x000a_" sqref="F29">
      <formula1>0</formula1>
      <formula2>300</formula2>
    </dataValidation>
    <dataValidation type="textLength" errorStyle="information" allowBlank="1" showInputMessage="1" showErrorMessage="1" error="XLBVal:6=5632.09_x000d__x000a_" sqref="F26">
      <formula1>0</formula1>
      <formula2>300</formula2>
    </dataValidation>
    <dataValidation type="textLength" errorStyle="information" allowBlank="1" showInputMessage="1" showErrorMessage="1" error="XLBVal:5=1285238.57_x000d__x000a_" sqref="E27:Q27 K28 E45:Q45 E63:Q63 F64:Q64 F65:N65 E64:E65">
      <formula1>0</formula1>
      <formula2>300</formula2>
    </dataValidation>
    <dataValidation type="textLength" errorStyle="information" allowBlank="1" showInputMessage="1" showErrorMessage="1" error="XLBVal:6=5959.13_x000d__x000a_" sqref="E67:P68">
      <formula1>0</formula1>
      <formula2>300</formula2>
    </dataValidation>
    <dataValidation type="textLength" errorStyle="information" allowBlank="1" showInputMessage="1" showErrorMessage="1" error="XLBVal:6=825.3_x000d__x000a_" sqref="E28">
      <formula1>0</formula1>
      <formula2>300</formula2>
    </dataValidation>
    <dataValidation type="textLength" errorStyle="information" allowBlank="1" showInputMessage="1" showErrorMessage="1" error="XLBVal:5=.795992234960888_x000d__x000a_" sqref="F28">
      <formula1>0</formula1>
      <formula2>300</formula2>
    </dataValidation>
    <dataValidation type="textLength" errorStyle="information" allowBlank="1" showInputMessage="1" showErrorMessage="1" error="XLBVal:6=8609.05_x000d__x000a_" sqref="E31:P31">
      <formula1>0</formula1>
      <formula2>300</formula2>
    </dataValidation>
    <dataValidation type="textLength" errorStyle="information" allowBlank="1" showInputMessage="1" showErrorMessage="1" error="XLBVal:5=.736072686217045_x000d__x000a_" sqref="J28">
      <formula1>0</formula1>
      <formula2>300</formula2>
    </dataValidation>
    <dataValidation type="textLength" errorStyle="information" allowBlank="1" showInputMessage="1" showErrorMessage="1" error="XLBVal:6=871596_x000d__x000a_" sqref="Q38:Q44">
      <formula1>0</formula1>
      <formula2>300</formula2>
    </dataValidation>
    <dataValidation type="textLength" errorStyle="information" allowBlank="1" showInputMessage="1" showErrorMessage="1" error="XLBVal:5=-331377.43_x000d__x000a_" sqref="M28">
      <formula1>0</formula1>
      <formula2>300</formula2>
    </dataValidation>
    <dataValidation type="textLength" errorStyle="information" allowBlank="1" showInputMessage="1" showErrorMessage="1" error="XLBVal:5=-.20498215407988_x000d__x000a_" sqref="N28">
      <formula1>0</formula1>
      <formula2>300</formula2>
    </dataValidation>
    <dataValidation type="textLength" errorStyle="information" allowBlank="1" showInputMessage="1" showErrorMessage="1" error="XLBVal:6=6688509.16_x000d__x000a_" sqref="E29">
      <formula1>0</formula1>
      <formula2>300</formula2>
    </dataValidation>
    <dataValidation type="textLength" errorStyle="information" allowBlank="1" showInputMessage="1" showErrorMessage="1" error="XLBVal:5=15426.66_x000d__x000a_" sqref="M29">
      <formula1>0</formula1>
      <formula2>300</formula2>
    </dataValidation>
    <dataValidation type="textLength" errorStyle="information" allowBlank="1" showInputMessage="1" showErrorMessage="1" error="XLBVal:5=-.452024345159023_x000d__x000a_" sqref="N29">
      <formula1>0</formula1>
      <formula2>300</formula2>
    </dataValidation>
    <dataValidation type="textLength" errorStyle="information" allowBlank="1" showInputMessage="1" showErrorMessage="1" error="XLBVal:6=28280_x000d__x000a_" sqref="Q30">
      <formula1>0</formula1>
      <formula2>300</formula2>
    </dataValidation>
    <dataValidation type="textLength" errorStyle="information" allowBlank="1" showInputMessage="1" showErrorMessage="1" error="XLBVal:6=2225772_x000d__x000a_" sqref="Q32">
      <formula1>0</formula1>
      <formula2>300</formula2>
    </dataValidation>
    <dataValidation type="textLength" errorStyle="information" allowBlank="1" showInputMessage="1" showErrorMessage="1" error="XLBVal:6=189254_x000d__x000a_" sqref="Q34">
      <formula1>0</formula1>
      <formula2>300</formula2>
    </dataValidation>
    <dataValidation type="textLength" errorStyle="information" allowBlank="1" showInputMessage="1" showErrorMessage="1" error="XLBVal:6=270684_x000d__x000a_" sqref="Q35">
      <formula1>0</formula1>
      <formula2>300</formula2>
    </dataValidation>
    <dataValidation type="textLength" errorStyle="information" allowBlank="1" showInputMessage="1" showErrorMessage="1" error="XLBVal:6=11712_x000d__x000a_" sqref="Q37">
      <formula1>0</formula1>
      <formula2>300</formula2>
    </dataValidation>
    <dataValidation type="textLength" errorStyle="information" allowBlank="1" showInputMessage="1" showErrorMessage="1" error="XLBVal:6=11_x000d__x000a_" sqref="E100:P100">
      <formula1>0</formula1>
      <formula2>300</formula2>
    </dataValidation>
    <dataValidation type="textLength" errorStyle="information" allowBlank="1" showInputMessage="1" showErrorMessage="1" error="XLBVal:6=-1453.98_x000d__x000a_" sqref="E38:P38">
      <formula1>0</formula1>
      <formula2>300</formula2>
    </dataValidation>
    <dataValidation type="textLength" errorStyle="information" allowBlank="1" showInputMessage="1" showErrorMessage="1" error="XLBVal:6=218.17_x000d__x000a_" sqref="E42:P42">
      <formula1>0</formula1>
      <formula2>300</formula2>
    </dataValidation>
    <dataValidation type="textLength" errorStyle="information" allowBlank="1" showInputMessage="1" showErrorMessage="1" error="XLBVal:5=-446484.289999999_x000d__x000a_" sqref="K66 K46:K47">
      <formula1>0</formula1>
      <formula2>300</formula2>
    </dataValidation>
    <dataValidation type="textLength" errorStyle="information" allowBlank="1" showInputMessage="1" showErrorMessage="1" error="XLBVal:6=3239.86_x000d__x000a_" sqref="E66 G66 I66 E46:E62 F48:F62 G46:G62 H48:H62 I46:I62 J48:Q62">
      <formula1>0</formula1>
      <formula2>300</formula2>
    </dataValidation>
    <dataValidation type="textLength" errorStyle="information" allowBlank="1" showInputMessage="1" showErrorMessage="1" error="XLBVal:5=0_x000d__x000a_" sqref="F66 H66 J66 L66 N66 F46:F47 H28:H29 H46:H47 J46:J47 L28:L29 L46:L47 N46:N47">
      <formula1>0</formula1>
      <formula2>300</formula2>
    </dataValidation>
    <dataValidation type="textLength" errorStyle="information" allowBlank="1" showInputMessage="1" showErrorMessage="1" error="XLBVal:5=-677276.26_x000d__x000a_" sqref="M66 M46:M47">
      <formula1>0</formula1>
      <formula2>300</formula2>
    </dataValidation>
    <dataValidation type="textLength" errorStyle="information" allowBlank="1" showInputMessage="1" showErrorMessage="1" sqref="F70 H70 J70:N70 F79 H79 J79:N79 F89 H89 J89:N89 E97:Q97 F98:Q98 F99:N99 E98:E99">
      <formula1>0</formula1>
      <formula2>300</formula2>
    </dataValidation>
    <dataValidation type="textLength" errorStyle="information" allowBlank="1" showInputMessage="1" showErrorMessage="1" error="XLBVal:6=1449408_x000d__x000a_" sqref="Q86">
      <formula1>0</formula1>
      <formula2>300</formula2>
    </dataValidation>
    <dataValidation type="textLength" errorStyle="information" allowBlank="1" showInputMessage="1" showErrorMessage="1" error="XLBVal:6=3678_x000d__x000a_" sqref="F88 H88 J88:Q88 E88:E89 G88:G89 I88:I89">
      <formula1>0</formula1>
      <formula2>300</formula2>
    </dataValidation>
    <dataValidation type="textLength" errorStyle="information" allowBlank="1" showInputMessage="1" showErrorMessage="1" error="XLBVal:6=2384822_x000d__x000a_" sqref="Q71:Q77">
      <formula1>0</formula1>
      <formula2>300</formula2>
    </dataValidation>
    <dataValidation type="textLength" errorStyle="information" allowBlank="1" showInputMessage="1" showErrorMessage="1" error="XLBVal:6=8014670_x000d__x000a_" sqref="Q80:Q85">
      <formula1>0</formula1>
      <formula2>300</formula2>
    </dataValidation>
    <dataValidation type="textLength" errorStyle="information" allowBlank="1" showInputMessage="1" showErrorMessage="1" error="XLBVal:6=3156.42_x000d__x000a_" sqref="E71:P77">
      <formula1>0</formula1>
      <formula2>300</formula2>
    </dataValidation>
    <dataValidation type="textLength" errorStyle="information" allowBlank="1" showInputMessage="1" showErrorMessage="1" error="XLBVal:6=3902.8_x000d__x000a_" sqref="E80:P87">
      <formula1>0</formula1>
      <formula2>300</formula2>
    </dataValidation>
    <dataValidation type="textLength" errorStyle="information" allowBlank="1" showInputMessage="1" showErrorMessage="1" error="XLBVal:6=467_x000d__x000a_" sqref="P103:P104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9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3"/>
  <dimension ref="A1:AH163"/>
  <sheetViews>
    <sheetView zoomScale="56" zoomScaleNormal="56" zoomScaleSheetLayoutView="40" workbookViewId="0">
      <pane xSplit="4" ySplit="9" topLeftCell="E75" activePane="bottomRight" state="frozen"/>
      <selection activeCell="D9" sqref="D9"/>
      <selection pane="topRight" activeCell="D9" sqref="D9"/>
      <selection pane="bottomLeft" activeCell="D9" sqref="D9"/>
      <selection pane="bottomRight" activeCell="Q108" sqref="Q108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2" width="23.6328125" style="5" hidden="1" customWidth="1" outlineLevel="1"/>
    <col min="3" max="3" width="15.453125" style="5" hidden="1" customWidth="1" outlineLevel="1"/>
    <col min="4" max="4" width="89.08984375" style="6" customWidth="1" collapsed="1"/>
    <col min="5" max="5" width="19.36328125" style="7" bestFit="1" customWidth="1"/>
    <col min="6" max="6" width="18.08984375" style="82" customWidth="1"/>
    <col min="7" max="7" width="17.90625" style="7" customWidth="1"/>
    <col min="8" max="8" width="17.90625" style="6" customWidth="1"/>
    <col min="9" max="9" width="19.6328125" style="7" customWidth="1"/>
    <col min="10" max="10" width="17.6328125" style="82" customWidth="1"/>
    <col min="11" max="11" width="17.90625" style="7" customWidth="1"/>
    <col min="12" max="12" width="18.453125" style="83" customWidth="1"/>
    <col min="13" max="13" width="19.08984375" style="7" customWidth="1"/>
    <col min="14" max="14" width="18.453125" style="82" customWidth="1"/>
    <col min="15" max="16" width="16.453125" style="5" customWidth="1"/>
    <col min="17" max="17" width="20.90625" style="5" customWidth="1"/>
    <col min="18" max="18" width="13.453125" style="5" customWidth="1"/>
    <col min="19" max="19" width="22.453125" style="8" hidden="1" customWidth="1"/>
    <col min="20" max="20" width="22.453125" style="5" hidden="1" customWidth="1"/>
    <col min="21" max="21" width="20" style="5" bestFit="1" customWidth="1"/>
    <col min="22" max="22" width="16.08984375" style="5" bestFit="1" customWidth="1"/>
    <col min="23" max="34" width="17.36328125" style="5" bestFit="1" customWidth="1"/>
    <col min="35" max="35" width="19.90625" style="5" bestFit="1" customWidth="1"/>
    <col min="36" max="16384" width="8.90625" style="5"/>
  </cols>
  <sheetData>
    <row r="1" spans="1:34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34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34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34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34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34" s="2" customFormat="1" ht="25.4" customHeight="1">
      <c r="D6" s="14" t="s">
        <v>1164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34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34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34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109"/>
      <c r="T9" s="110"/>
    </row>
    <row r="10" spans="1:34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34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34" s="3" customFormat="1" ht="25.4" customHeight="1">
      <c r="A12" s="3" t="s">
        <v>668</v>
      </c>
      <c r="B12" s="3" t="s">
        <v>669</v>
      </c>
      <c r="D12" s="3" t="s">
        <v>716</v>
      </c>
      <c r="E12" s="352">
        <v>11300</v>
      </c>
      <c r="F12" s="352">
        <v>17300</v>
      </c>
      <c r="G12" s="352">
        <v>23300</v>
      </c>
      <c r="H12" s="352">
        <v>29300</v>
      </c>
      <c r="I12" s="352">
        <v>35300</v>
      </c>
      <c r="J12" s="352">
        <v>41300</v>
      </c>
      <c r="K12" s="352">
        <v>47300</v>
      </c>
      <c r="L12" s="352">
        <v>41300</v>
      </c>
      <c r="M12" s="352">
        <v>53300</v>
      </c>
      <c r="N12" s="352">
        <v>59300</v>
      </c>
      <c r="O12" s="352">
        <v>71300</v>
      </c>
      <c r="P12" s="352">
        <v>71300</v>
      </c>
      <c r="Q12" s="27">
        <f>SUM(E12:P12)</f>
        <v>501600</v>
      </c>
      <c r="S12" s="35"/>
      <c r="T12" s="40" t="e">
        <f>IF(Q12-S12=0,0,(Q12-S12)/S12)</f>
        <v>#DIV/0!</v>
      </c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s="3" customFormat="1" ht="25.4" customHeight="1">
      <c r="A13" s="3" t="s">
        <v>717</v>
      </c>
      <c r="B13" s="3" t="s">
        <v>718</v>
      </c>
      <c r="C13" s="3" t="s">
        <v>719</v>
      </c>
      <c r="D13" s="26" t="s">
        <v>720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f t="shared" ref="Q13:Q27" si="0">SUM(E13:P13)</f>
        <v>0</v>
      </c>
      <c r="S13" s="35"/>
      <c r="T13" s="40">
        <f t="shared" ref="T13:T56" si="1">IF(Q13-S13=0,0,(Q13-S13)/S13)</f>
        <v>0</v>
      </c>
    </row>
    <row r="14" spans="1:34" s="3" customFormat="1" ht="25.4" customHeight="1">
      <c r="A14" s="3" t="s">
        <v>717</v>
      </c>
      <c r="B14" s="3" t="s">
        <v>718</v>
      </c>
      <c r="C14" s="3" t="s">
        <v>721</v>
      </c>
      <c r="D14" s="26" t="s">
        <v>722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f t="shared" si="0"/>
        <v>0</v>
      </c>
      <c r="S14" s="35"/>
      <c r="T14" s="40">
        <f t="shared" si="1"/>
        <v>0</v>
      </c>
    </row>
    <row r="15" spans="1:34" s="3" customFormat="1" ht="25.4" customHeight="1">
      <c r="A15" s="3" t="s">
        <v>717</v>
      </c>
      <c r="B15" s="3" t="s">
        <v>718</v>
      </c>
      <c r="C15" s="3" t="s">
        <v>723</v>
      </c>
      <c r="D15" s="26" t="s">
        <v>724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f t="shared" si="0"/>
        <v>0</v>
      </c>
      <c r="S15" s="35"/>
      <c r="T15" s="40">
        <f t="shared" si="1"/>
        <v>0</v>
      </c>
    </row>
    <row r="16" spans="1:34" s="3" customFormat="1" ht="25.4" customHeight="1">
      <c r="A16" s="3" t="s">
        <v>717</v>
      </c>
      <c r="B16" s="3" t="s">
        <v>718</v>
      </c>
      <c r="C16" s="3" t="s">
        <v>725</v>
      </c>
      <c r="D16" s="72" t="s">
        <v>726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f t="shared" si="0"/>
        <v>0</v>
      </c>
      <c r="S16" s="35"/>
      <c r="T16" s="40">
        <f t="shared" si="1"/>
        <v>0</v>
      </c>
    </row>
    <row r="17" spans="1:20" s="3" customFormat="1" ht="25.4" customHeight="1">
      <c r="A17" s="3" t="s">
        <v>717</v>
      </c>
      <c r="B17" s="3" t="s">
        <v>718</v>
      </c>
      <c r="C17" s="3" t="s">
        <v>727</v>
      </c>
      <c r="D17" s="26" t="s">
        <v>728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f t="shared" si="0"/>
        <v>0</v>
      </c>
      <c r="S17" s="35"/>
      <c r="T17" s="40">
        <f t="shared" si="1"/>
        <v>0</v>
      </c>
    </row>
    <row r="18" spans="1:20" s="3" customFormat="1" ht="25.4" customHeight="1">
      <c r="A18" s="3" t="s">
        <v>717</v>
      </c>
      <c r="B18" s="3" t="s">
        <v>718</v>
      </c>
      <c r="C18" s="3" t="s">
        <v>729</v>
      </c>
      <c r="D18" s="26" t="s">
        <v>730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f t="shared" si="0"/>
        <v>0</v>
      </c>
      <c r="S18" s="35"/>
      <c r="T18" s="40">
        <f t="shared" si="1"/>
        <v>0</v>
      </c>
    </row>
    <row r="19" spans="1:20" s="3" customFormat="1" ht="25.4" customHeight="1">
      <c r="A19" s="3" t="s">
        <v>717</v>
      </c>
      <c r="B19" s="3" t="s">
        <v>718</v>
      </c>
      <c r="C19" s="3" t="s">
        <v>731</v>
      </c>
      <c r="D19" s="26" t="s">
        <v>732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f t="shared" si="0"/>
        <v>0</v>
      </c>
      <c r="S19" s="35"/>
      <c r="T19" s="40">
        <f t="shared" si="1"/>
        <v>0</v>
      </c>
    </row>
    <row r="20" spans="1:20" s="3" customFormat="1" ht="25.4" customHeight="1">
      <c r="A20" s="3" t="s">
        <v>717</v>
      </c>
      <c r="B20" s="3" t="s">
        <v>718</v>
      </c>
      <c r="C20" s="3" t="s">
        <v>733</v>
      </c>
      <c r="D20" s="26" t="s">
        <v>734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f t="shared" si="0"/>
        <v>0</v>
      </c>
      <c r="S20" s="35"/>
      <c r="T20" s="40">
        <f t="shared" si="1"/>
        <v>0</v>
      </c>
    </row>
    <row r="21" spans="1:20" s="3" customFormat="1" ht="25.4" customHeight="1">
      <c r="A21" s="3" t="s">
        <v>717</v>
      </c>
      <c r="B21" s="3" t="s">
        <v>718</v>
      </c>
      <c r="C21" s="3" t="s">
        <v>735</v>
      </c>
      <c r="D21" s="26" t="s">
        <v>736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f t="shared" si="0"/>
        <v>0</v>
      </c>
      <c r="S21" s="35"/>
      <c r="T21" s="40">
        <f t="shared" si="1"/>
        <v>0</v>
      </c>
    </row>
    <row r="22" spans="1:20" s="3" customFormat="1" ht="25.4" customHeight="1">
      <c r="A22" s="3" t="s">
        <v>717</v>
      </c>
      <c r="B22" s="3" t="s">
        <v>718</v>
      </c>
      <c r="C22" s="3" t="s">
        <v>737</v>
      </c>
      <c r="D22" s="26" t="s">
        <v>738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f t="shared" si="0"/>
        <v>0</v>
      </c>
      <c r="S22" s="35"/>
      <c r="T22" s="40">
        <f t="shared" si="1"/>
        <v>0</v>
      </c>
    </row>
    <row r="23" spans="1:20" s="3" customFormat="1" ht="25.4" customHeight="1">
      <c r="A23" s="3" t="s">
        <v>717</v>
      </c>
      <c r="B23" s="3" t="s">
        <v>718</v>
      </c>
      <c r="C23" s="3" t="s">
        <v>739</v>
      </c>
      <c r="D23" s="26" t="s">
        <v>740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f t="shared" si="0"/>
        <v>0</v>
      </c>
      <c r="S23" s="35"/>
      <c r="T23" s="40">
        <f t="shared" si="1"/>
        <v>0</v>
      </c>
    </row>
    <row r="24" spans="1:20" s="3" customFormat="1" ht="25.4" customHeight="1">
      <c r="A24" s="3" t="s">
        <v>717</v>
      </c>
      <c r="B24" s="3" t="s">
        <v>718</v>
      </c>
      <c r="C24" s="3" t="s">
        <v>741</v>
      </c>
      <c r="D24" s="26" t="s">
        <v>742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f t="shared" si="0"/>
        <v>0</v>
      </c>
      <c r="S24" s="35"/>
      <c r="T24" s="40">
        <f t="shared" si="1"/>
        <v>0</v>
      </c>
    </row>
    <row r="25" spans="1:20" s="3" customFormat="1" ht="25.4" customHeight="1">
      <c r="A25" s="3" t="s">
        <v>717</v>
      </c>
      <c r="B25" s="3" t="s">
        <v>718</v>
      </c>
      <c r="C25" s="3" t="s">
        <v>743</v>
      </c>
      <c r="D25" s="26" t="s">
        <v>744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f t="shared" si="0"/>
        <v>0</v>
      </c>
      <c r="S25" s="35"/>
      <c r="T25" s="40">
        <f t="shared" si="1"/>
        <v>0</v>
      </c>
    </row>
    <row r="26" spans="1:20" s="3" customFormat="1" ht="25.4" customHeight="1">
      <c r="A26" s="3" t="s">
        <v>717</v>
      </c>
      <c r="B26" s="3" t="s">
        <v>718</v>
      </c>
      <c r="C26" s="3" t="s">
        <v>745</v>
      </c>
      <c r="D26" s="26" t="s">
        <v>746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f t="shared" si="0"/>
        <v>0</v>
      </c>
      <c r="S26" s="35"/>
      <c r="T26" s="40">
        <f t="shared" si="1"/>
        <v>0</v>
      </c>
    </row>
    <row r="27" spans="1:20" s="3" customFormat="1" ht="25.4" customHeight="1">
      <c r="A27" s="3" t="s">
        <v>747</v>
      </c>
      <c r="B27" s="3" t="s">
        <v>718</v>
      </c>
      <c r="D27" s="26" t="s">
        <v>748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f t="shared" si="0"/>
        <v>0</v>
      </c>
      <c r="S27" s="35"/>
      <c r="T27" s="40">
        <f t="shared" si="1"/>
        <v>0</v>
      </c>
    </row>
    <row r="28" spans="1:20" s="3" customFormat="1" ht="25.4" customHeight="1">
      <c r="D28" s="21" t="s">
        <v>655</v>
      </c>
      <c r="E28" s="30">
        <f>SUM(E12:E27)</f>
        <v>11300</v>
      </c>
      <c r="F28" s="30">
        <f t="shared" ref="F28:P28" si="2">SUM(F12:F27)</f>
        <v>17300</v>
      </c>
      <c r="G28" s="30">
        <f t="shared" si="2"/>
        <v>23300</v>
      </c>
      <c r="H28" s="30">
        <f t="shared" si="2"/>
        <v>29300</v>
      </c>
      <c r="I28" s="30">
        <f t="shared" si="2"/>
        <v>35300</v>
      </c>
      <c r="J28" s="30">
        <f t="shared" si="2"/>
        <v>41300</v>
      </c>
      <c r="K28" s="30">
        <f t="shared" si="2"/>
        <v>47300</v>
      </c>
      <c r="L28" s="30">
        <f t="shared" si="2"/>
        <v>41300</v>
      </c>
      <c r="M28" s="30">
        <f t="shared" si="2"/>
        <v>53300</v>
      </c>
      <c r="N28" s="30">
        <f t="shared" si="2"/>
        <v>59300</v>
      </c>
      <c r="O28" s="30">
        <f t="shared" si="2"/>
        <v>71300</v>
      </c>
      <c r="P28" s="30">
        <f t="shared" si="2"/>
        <v>71300</v>
      </c>
      <c r="Q28" s="30">
        <f t="shared" ref="Q28" si="3">SUM(Q12:Q27)</f>
        <v>501600</v>
      </c>
      <c r="S28" s="35"/>
      <c r="T28" s="40" t="e">
        <f t="shared" si="1"/>
        <v>#DIV/0!</v>
      </c>
    </row>
    <row r="29" spans="1:20" s="3" customFormat="1" ht="25.4" customHeight="1">
      <c r="D29" s="21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S29" s="35"/>
      <c r="T29" s="40"/>
    </row>
    <row r="30" spans="1:20" s="3" customFormat="1" ht="25.4" customHeight="1">
      <c r="D30" s="21" t="s">
        <v>411</v>
      </c>
      <c r="E30" s="27"/>
      <c r="F30" s="89"/>
      <c r="G30" s="27"/>
      <c r="H30" s="89"/>
      <c r="I30" s="27"/>
      <c r="J30" s="89"/>
      <c r="K30" s="27"/>
      <c r="L30" s="89"/>
      <c r="M30" s="27"/>
      <c r="N30" s="89"/>
      <c r="O30" s="96"/>
      <c r="P30" s="96"/>
      <c r="Q30" s="96"/>
      <c r="S30" s="35"/>
      <c r="T30" s="40"/>
    </row>
    <row r="31" spans="1:20" s="3" customFormat="1" ht="25.4" hidden="1" customHeight="1">
      <c r="A31" s="3" t="s">
        <v>749</v>
      </c>
      <c r="B31" s="3" t="s">
        <v>718</v>
      </c>
      <c r="C31" s="3" t="s">
        <v>750</v>
      </c>
      <c r="D31" s="26" t="s">
        <v>751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96">
        <f>SUM(E31:P31)</f>
        <v>0</v>
      </c>
      <c r="S31" s="35"/>
      <c r="T31" s="40">
        <f t="shared" si="1"/>
        <v>0</v>
      </c>
    </row>
    <row r="32" spans="1:20" s="3" customFormat="1" ht="25.4" hidden="1" customHeight="1">
      <c r="A32" s="3" t="s">
        <v>749</v>
      </c>
      <c r="B32" s="3" t="s">
        <v>718</v>
      </c>
      <c r="C32" s="3" t="s">
        <v>719</v>
      </c>
      <c r="D32" s="26" t="s">
        <v>720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96">
        <f t="shared" ref="Q32:Q47" si="4">SUM(E32:P32)</f>
        <v>0</v>
      </c>
      <c r="S32" s="35"/>
      <c r="T32" s="40">
        <f t="shared" si="1"/>
        <v>0</v>
      </c>
    </row>
    <row r="33" spans="1:20" s="3" customFormat="1" ht="25.4" hidden="1" customHeight="1">
      <c r="A33" s="3" t="s">
        <v>749</v>
      </c>
      <c r="B33" s="3" t="s">
        <v>718</v>
      </c>
      <c r="C33" s="3" t="s">
        <v>721</v>
      </c>
      <c r="D33" s="26" t="s">
        <v>722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96">
        <f t="shared" si="4"/>
        <v>0</v>
      </c>
      <c r="S33" s="35"/>
      <c r="T33" s="40">
        <f t="shared" si="1"/>
        <v>0</v>
      </c>
    </row>
    <row r="34" spans="1:20" s="3" customFormat="1" ht="25.4" hidden="1" customHeight="1">
      <c r="A34" s="3" t="s">
        <v>749</v>
      </c>
      <c r="B34" s="3" t="s">
        <v>718</v>
      </c>
      <c r="C34" s="3" t="s">
        <v>723</v>
      </c>
      <c r="D34" s="72" t="s">
        <v>724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96">
        <f t="shared" si="4"/>
        <v>0</v>
      </c>
      <c r="S34" s="35"/>
      <c r="T34" s="40">
        <f t="shared" si="1"/>
        <v>0</v>
      </c>
    </row>
    <row r="35" spans="1:20" s="3" customFormat="1" ht="25.4" hidden="1" customHeight="1">
      <c r="A35" s="3" t="s">
        <v>749</v>
      </c>
      <c r="B35" s="3" t="s">
        <v>718</v>
      </c>
      <c r="C35" s="3" t="s">
        <v>725</v>
      </c>
      <c r="D35" s="26" t="s">
        <v>752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96">
        <f t="shared" si="4"/>
        <v>0</v>
      </c>
      <c r="S35" s="35"/>
      <c r="T35" s="40">
        <f t="shared" si="1"/>
        <v>0</v>
      </c>
    </row>
    <row r="36" spans="1:20" s="3" customFormat="1" ht="25.4" hidden="1" customHeight="1">
      <c r="A36" s="3" t="s">
        <v>749</v>
      </c>
      <c r="B36" s="3" t="s">
        <v>718</v>
      </c>
      <c r="C36" s="3" t="s">
        <v>727</v>
      </c>
      <c r="D36" s="26" t="s">
        <v>728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96">
        <f t="shared" si="4"/>
        <v>0</v>
      </c>
      <c r="S36" s="35"/>
      <c r="T36" s="40">
        <f t="shared" si="1"/>
        <v>0</v>
      </c>
    </row>
    <row r="37" spans="1:20" s="3" customFormat="1" ht="25.4" hidden="1" customHeight="1">
      <c r="A37" s="3" t="s">
        <v>749</v>
      </c>
      <c r="B37" s="3" t="s">
        <v>718</v>
      </c>
      <c r="C37" s="3" t="s">
        <v>729</v>
      </c>
      <c r="D37" s="26" t="s">
        <v>730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96">
        <f t="shared" si="4"/>
        <v>0</v>
      </c>
      <c r="S37" s="35"/>
      <c r="T37" s="40">
        <f t="shared" si="1"/>
        <v>0</v>
      </c>
    </row>
    <row r="38" spans="1:20" s="3" customFormat="1" ht="25.4" hidden="1" customHeight="1">
      <c r="A38" s="3" t="s">
        <v>749</v>
      </c>
      <c r="B38" s="3" t="s">
        <v>718</v>
      </c>
      <c r="C38" s="3" t="s">
        <v>731</v>
      </c>
      <c r="D38" s="26" t="s">
        <v>732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96">
        <f t="shared" si="4"/>
        <v>0</v>
      </c>
      <c r="S38" s="35"/>
      <c r="T38" s="40">
        <f t="shared" si="1"/>
        <v>0</v>
      </c>
    </row>
    <row r="39" spans="1:20" s="3" customFormat="1" ht="25.4" hidden="1" customHeight="1">
      <c r="A39" s="3" t="s">
        <v>749</v>
      </c>
      <c r="B39" s="3" t="s">
        <v>718</v>
      </c>
      <c r="C39" s="3" t="s">
        <v>733</v>
      </c>
      <c r="D39" s="26" t="s">
        <v>734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96">
        <f t="shared" si="4"/>
        <v>0</v>
      </c>
      <c r="S39" s="35"/>
      <c r="T39" s="40">
        <f t="shared" si="1"/>
        <v>0</v>
      </c>
    </row>
    <row r="40" spans="1:20" s="3" customFormat="1" ht="25.4" hidden="1" customHeight="1">
      <c r="A40" s="3" t="s">
        <v>749</v>
      </c>
      <c r="B40" s="3" t="s">
        <v>718</v>
      </c>
      <c r="C40" s="3" t="s">
        <v>735</v>
      </c>
      <c r="D40" s="26" t="s">
        <v>736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96">
        <f t="shared" si="4"/>
        <v>0</v>
      </c>
      <c r="S40" s="35"/>
      <c r="T40" s="40">
        <f t="shared" si="1"/>
        <v>0</v>
      </c>
    </row>
    <row r="41" spans="1:20" s="3" customFormat="1" ht="25.4" customHeight="1">
      <c r="A41" s="3" t="s">
        <v>749</v>
      </c>
      <c r="B41" s="3" t="s">
        <v>718</v>
      </c>
      <c r="D41" s="26" t="s">
        <v>753</v>
      </c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6">
        <f t="shared" si="4"/>
        <v>0</v>
      </c>
      <c r="S41" s="35"/>
      <c r="T41" s="40">
        <f>-IF(Q41-S41=0,0,(Q41-S41)/S41)</f>
        <v>0</v>
      </c>
    </row>
    <row r="42" spans="1:20" s="3" customFormat="1" ht="25.4" hidden="1" customHeight="1">
      <c r="A42" s="3" t="s">
        <v>749</v>
      </c>
      <c r="B42" s="3" t="s">
        <v>718</v>
      </c>
      <c r="C42" s="3" t="s">
        <v>737</v>
      </c>
      <c r="D42" s="26" t="s">
        <v>738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96">
        <f t="shared" si="4"/>
        <v>0</v>
      </c>
      <c r="S42" s="35"/>
      <c r="T42" s="40">
        <f t="shared" ref="T42:T47" si="5">-IF(Q42-S42=0,0,(Q42-S42)/S42)</f>
        <v>0</v>
      </c>
    </row>
    <row r="43" spans="1:20" s="3" customFormat="1" ht="25.4" hidden="1" customHeight="1">
      <c r="A43" s="3" t="s">
        <v>749</v>
      </c>
      <c r="B43" s="3" t="s">
        <v>718</v>
      </c>
      <c r="C43" s="3" t="s">
        <v>739</v>
      </c>
      <c r="D43" s="26" t="s">
        <v>740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96">
        <f t="shared" si="4"/>
        <v>0</v>
      </c>
      <c r="S43" s="35"/>
      <c r="T43" s="40">
        <f t="shared" si="5"/>
        <v>0</v>
      </c>
    </row>
    <row r="44" spans="1:20" s="3" customFormat="1" ht="25.4" hidden="1" customHeight="1">
      <c r="A44" s="3" t="s">
        <v>749</v>
      </c>
      <c r="B44" s="3" t="s">
        <v>718</v>
      </c>
      <c r="C44" s="3" t="s">
        <v>741</v>
      </c>
      <c r="D44" s="26" t="s">
        <v>742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96">
        <f t="shared" si="4"/>
        <v>0</v>
      </c>
      <c r="S44" s="35"/>
      <c r="T44" s="40">
        <f t="shared" si="5"/>
        <v>0</v>
      </c>
    </row>
    <row r="45" spans="1:20" s="3" customFormat="1" ht="25.4" hidden="1" customHeight="1">
      <c r="A45" s="3" t="s">
        <v>749</v>
      </c>
      <c r="B45" s="3" t="s">
        <v>718</v>
      </c>
      <c r="C45" s="3" t="s">
        <v>743</v>
      </c>
      <c r="D45" s="26" t="s">
        <v>744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96">
        <f t="shared" si="4"/>
        <v>0</v>
      </c>
      <c r="S45" s="35"/>
      <c r="T45" s="40">
        <f t="shared" si="5"/>
        <v>0</v>
      </c>
    </row>
    <row r="46" spans="1:20" s="3" customFormat="1" ht="25.4" hidden="1" customHeight="1">
      <c r="A46" s="3" t="s">
        <v>749</v>
      </c>
      <c r="B46" s="3" t="s">
        <v>718</v>
      </c>
      <c r="C46" s="3" t="s">
        <v>745</v>
      </c>
      <c r="D46" s="26" t="s">
        <v>746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96">
        <f t="shared" si="4"/>
        <v>0</v>
      </c>
      <c r="S46" s="35"/>
      <c r="T46" s="40">
        <f t="shared" si="5"/>
        <v>0</v>
      </c>
    </row>
    <row r="47" spans="1:20" s="19" customFormat="1" ht="25.4" customHeight="1">
      <c r="A47" s="3" t="s">
        <v>754</v>
      </c>
      <c r="B47" s="3" t="s">
        <v>669</v>
      </c>
      <c r="C47" s="3"/>
      <c r="D47" s="21" t="s">
        <v>755</v>
      </c>
      <c r="E47" s="91">
        <f>SUM(E31:E46)</f>
        <v>0</v>
      </c>
      <c r="F47" s="91">
        <f t="shared" ref="F47:P47" si="6">SUM(F31:F46)</f>
        <v>0</v>
      </c>
      <c r="G47" s="91">
        <f t="shared" si="6"/>
        <v>0</v>
      </c>
      <c r="H47" s="91">
        <f t="shared" si="6"/>
        <v>0</v>
      </c>
      <c r="I47" s="91">
        <f t="shared" si="6"/>
        <v>0</v>
      </c>
      <c r="J47" s="91">
        <f t="shared" si="6"/>
        <v>0</v>
      </c>
      <c r="K47" s="91">
        <f t="shared" si="6"/>
        <v>0</v>
      </c>
      <c r="L47" s="91">
        <f t="shared" si="6"/>
        <v>0</v>
      </c>
      <c r="M47" s="91">
        <f t="shared" si="6"/>
        <v>0</v>
      </c>
      <c r="N47" s="91">
        <f t="shared" si="6"/>
        <v>0</v>
      </c>
      <c r="O47" s="91">
        <f t="shared" si="6"/>
        <v>0</v>
      </c>
      <c r="P47" s="91">
        <f t="shared" si="6"/>
        <v>0</v>
      </c>
      <c r="Q47" s="111">
        <f t="shared" si="4"/>
        <v>0</v>
      </c>
      <c r="R47" s="39">
        <f>Q47/$Q$28</f>
        <v>0</v>
      </c>
      <c r="S47" s="35"/>
      <c r="T47" s="40">
        <f t="shared" si="5"/>
        <v>0</v>
      </c>
    </row>
    <row r="48" spans="1:20" s="19" customFormat="1" ht="25.4" customHeight="1">
      <c r="A48" s="3"/>
      <c r="B48" s="3"/>
      <c r="C48" s="3"/>
      <c r="D48" s="2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6"/>
      <c r="R48" s="3"/>
      <c r="S48" s="35"/>
      <c r="T48" s="40"/>
    </row>
    <row r="49" spans="1:20" s="19" customFormat="1" ht="25.4" customHeight="1">
      <c r="A49" s="19" t="s">
        <v>466</v>
      </c>
      <c r="B49" s="19" t="s">
        <v>718</v>
      </c>
      <c r="D49" s="19" t="s">
        <v>756</v>
      </c>
      <c r="E49" s="92">
        <f>E157</f>
        <v>76727.710000000006</v>
      </c>
      <c r="F49" s="92">
        <f t="shared" ref="F49:P49" si="7">F157</f>
        <v>76117.08</v>
      </c>
      <c r="G49" s="92">
        <f t="shared" si="7"/>
        <v>76644.989999999991</v>
      </c>
      <c r="H49" s="92">
        <f t="shared" si="7"/>
        <v>87116.309999999983</v>
      </c>
      <c r="I49" s="92">
        <f t="shared" si="7"/>
        <v>108072</v>
      </c>
      <c r="J49" s="92">
        <f t="shared" si="7"/>
        <v>101341.79</v>
      </c>
      <c r="K49" s="92">
        <f t="shared" si="7"/>
        <v>101196.44</v>
      </c>
      <c r="L49" s="92">
        <f t="shared" si="7"/>
        <v>101217.91999999998</v>
      </c>
      <c r="M49" s="92">
        <f t="shared" si="7"/>
        <v>101246.41</v>
      </c>
      <c r="N49" s="92">
        <f t="shared" si="7"/>
        <v>116360.12</v>
      </c>
      <c r="O49" s="92">
        <f t="shared" si="7"/>
        <v>76053.73</v>
      </c>
      <c r="P49" s="92">
        <f t="shared" si="7"/>
        <v>76015.929999999993</v>
      </c>
      <c r="Q49" s="97">
        <f>SUM(E49:P49)</f>
        <v>1098110.43</v>
      </c>
      <c r="R49" s="39">
        <f>Q49/$Q$28</f>
        <v>2.1892153708133968</v>
      </c>
      <c r="S49" s="35"/>
      <c r="T49" s="40" t="e">
        <f>-IF(Q49-S49=0,0,(Q49-S49)/S49)</f>
        <v>#DIV/0!</v>
      </c>
    </row>
    <row r="50" spans="1:20" s="19" customFormat="1" ht="25.4" customHeight="1">
      <c r="D50" s="26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6"/>
      <c r="R50" s="3"/>
      <c r="S50" s="35"/>
      <c r="T50" s="40"/>
    </row>
    <row r="51" spans="1:20" s="19" customFormat="1" ht="25.4" customHeight="1">
      <c r="D51" s="21" t="s">
        <v>757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6"/>
      <c r="R51" s="3"/>
      <c r="S51" s="35"/>
      <c r="T51" s="40"/>
    </row>
    <row r="52" spans="1:20" s="19" customFormat="1" ht="25.4" customHeight="1">
      <c r="A52" s="19" t="s">
        <v>468</v>
      </c>
      <c r="B52" s="19" t="s">
        <v>718</v>
      </c>
      <c r="D52" s="26" t="s">
        <v>143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96">
        <f>SUM(E52:P52)</f>
        <v>0</v>
      </c>
      <c r="R52" s="3"/>
      <c r="S52" s="35"/>
      <c r="T52" s="40">
        <f t="shared" si="1"/>
        <v>0</v>
      </c>
    </row>
    <row r="53" spans="1:20" s="19" customFormat="1" ht="25.4" customHeight="1">
      <c r="A53" s="19" t="s">
        <v>470</v>
      </c>
      <c r="B53" s="19" t="s">
        <v>718</v>
      </c>
      <c r="D53" s="26" t="s">
        <v>145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96">
        <f t="shared" ref="Q53:Q116" si="8">SUM(E53:P53)</f>
        <v>0</v>
      </c>
      <c r="R53" s="3"/>
      <c r="S53" s="35"/>
      <c r="T53" s="40">
        <f t="shared" si="1"/>
        <v>0</v>
      </c>
    </row>
    <row r="54" spans="1:20" s="19" customFormat="1" ht="25.4" customHeight="1">
      <c r="A54" s="19" t="s">
        <v>472</v>
      </c>
      <c r="B54" s="19" t="s">
        <v>718</v>
      </c>
      <c r="D54" s="26" t="s">
        <v>147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96">
        <f t="shared" si="8"/>
        <v>0</v>
      </c>
      <c r="R54" s="3"/>
      <c r="S54" s="35"/>
      <c r="T54" s="40">
        <f t="shared" si="1"/>
        <v>0</v>
      </c>
    </row>
    <row r="55" spans="1:20" s="19" customFormat="1" ht="25.4" customHeight="1">
      <c r="A55" s="19" t="s">
        <v>474</v>
      </c>
      <c r="B55" s="19" t="s">
        <v>718</v>
      </c>
      <c r="D55" s="26" t="s">
        <v>149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96">
        <f t="shared" si="8"/>
        <v>0</v>
      </c>
      <c r="R55" s="3"/>
      <c r="S55" s="35"/>
      <c r="T55" s="40">
        <f t="shared" si="1"/>
        <v>0</v>
      </c>
    </row>
    <row r="56" spans="1:20" s="19" customFormat="1" ht="25.4" customHeight="1">
      <c r="A56" s="19" t="s">
        <v>476</v>
      </c>
      <c r="B56" s="19" t="s">
        <v>718</v>
      </c>
      <c r="D56" s="26" t="s">
        <v>151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96">
        <f t="shared" si="8"/>
        <v>0</v>
      </c>
      <c r="R56" s="3"/>
      <c r="S56" s="35"/>
      <c r="T56" s="40">
        <f t="shared" si="1"/>
        <v>0</v>
      </c>
    </row>
    <row r="57" spans="1:20" s="19" customFormat="1" ht="25.4" customHeight="1">
      <c r="A57" s="19" t="s">
        <v>478</v>
      </c>
      <c r="B57" s="19" t="s">
        <v>718</v>
      </c>
      <c r="D57" s="26" t="s">
        <v>153</v>
      </c>
      <c r="E57" s="90">
        <v>1500</v>
      </c>
      <c r="F57" s="90">
        <v>1500</v>
      </c>
      <c r="G57" s="90">
        <v>1500</v>
      </c>
      <c r="H57" s="90">
        <v>1500</v>
      </c>
      <c r="I57" s="90">
        <v>1500</v>
      </c>
      <c r="J57" s="90">
        <v>1500</v>
      </c>
      <c r="K57" s="90">
        <v>1500</v>
      </c>
      <c r="L57" s="90">
        <v>1500</v>
      </c>
      <c r="M57" s="90">
        <v>1500</v>
      </c>
      <c r="N57" s="90">
        <v>1500</v>
      </c>
      <c r="O57" s="90">
        <v>1500</v>
      </c>
      <c r="P57" s="90">
        <v>4500</v>
      </c>
      <c r="Q57" s="96">
        <f t="shared" si="8"/>
        <v>21000</v>
      </c>
      <c r="R57" s="39">
        <f t="shared" ref="R57:R120" si="9">Q57/$Q$28</f>
        <v>4.1866028708133975E-2</v>
      </c>
      <c r="S57" s="35"/>
      <c r="T57" s="40" t="e">
        <f>-IF(Q57-S57=0,0,(Q57-S57)/S57)</f>
        <v>#DIV/0!</v>
      </c>
    </row>
    <row r="58" spans="1:20" s="19" customFormat="1" ht="25.4" customHeight="1">
      <c r="A58" s="19" t="s">
        <v>480</v>
      </c>
      <c r="B58" s="19" t="s">
        <v>718</v>
      </c>
      <c r="D58" s="26" t="s">
        <v>155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96">
        <f t="shared" si="8"/>
        <v>0</v>
      </c>
      <c r="R58" s="39">
        <f t="shared" si="9"/>
        <v>0</v>
      </c>
      <c r="S58" s="35"/>
      <c r="T58" s="40">
        <f t="shared" ref="T58:T120" si="10">-IF(Q58-S58=0,0,(Q58-S58)/S58)</f>
        <v>0</v>
      </c>
    </row>
    <row r="59" spans="1:20" s="19" customFormat="1" ht="25.4" customHeight="1">
      <c r="A59" s="19" t="s">
        <v>482</v>
      </c>
      <c r="B59" s="19" t="s">
        <v>718</v>
      </c>
      <c r="D59" s="26" t="s">
        <v>157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96">
        <f t="shared" si="8"/>
        <v>0</v>
      </c>
      <c r="R59" s="39">
        <f t="shared" si="9"/>
        <v>0</v>
      </c>
      <c r="S59" s="35"/>
      <c r="T59" s="40">
        <f t="shared" si="10"/>
        <v>0</v>
      </c>
    </row>
    <row r="60" spans="1:20" s="19" customFormat="1" ht="25.4" customHeight="1">
      <c r="A60" s="19" t="s">
        <v>484</v>
      </c>
      <c r="B60" s="19" t="s">
        <v>718</v>
      </c>
      <c r="D60" s="26" t="s">
        <v>159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96">
        <f t="shared" si="8"/>
        <v>0</v>
      </c>
      <c r="R60" s="39">
        <f t="shared" si="9"/>
        <v>0</v>
      </c>
      <c r="S60" s="35"/>
      <c r="T60" s="40"/>
    </row>
    <row r="61" spans="1:20" s="19" customFormat="1" ht="25.4" customHeight="1">
      <c r="A61" s="19" t="s">
        <v>486</v>
      </c>
      <c r="B61" s="19" t="s">
        <v>718</v>
      </c>
      <c r="D61" s="26" t="s">
        <v>161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96">
        <f t="shared" si="8"/>
        <v>0</v>
      </c>
      <c r="R61" s="39">
        <f t="shared" si="9"/>
        <v>0</v>
      </c>
      <c r="S61" s="35"/>
      <c r="T61" s="40">
        <f t="shared" si="10"/>
        <v>0</v>
      </c>
    </row>
    <row r="62" spans="1:20" s="19" customFormat="1" ht="25.4" customHeight="1">
      <c r="A62" s="19" t="s">
        <v>488</v>
      </c>
      <c r="B62" s="19" t="s">
        <v>718</v>
      </c>
      <c r="D62" s="26" t="s">
        <v>163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96">
        <f t="shared" si="8"/>
        <v>0</v>
      </c>
      <c r="R62" s="39">
        <f t="shared" si="9"/>
        <v>0</v>
      </c>
      <c r="S62" s="35"/>
      <c r="T62" s="40">
        <f t="shared" si="10"/>
        <v>0</v>
      </c>
    </row>
    <row r="63" spans="1:20" s="19" customFormat="1" ht="25.4" customHeight="1">
      <c r="A63" s="19" t="s">
        <v>490</v>
      </c>
      <c r="B63" s="19" t="s">
        <v>718</v>
      </c>
      <c r="D63" s="26" t="s">
        <v>165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96">
        <f t="shared" si="8"/>
        <v>0</v>
      </c>
      <c r="R63" s="39">
        <f t="shared" si="9"/>
        <v>0</v>
      </c>
      <c r="S63" s="35"/>
      <c r="T63" s="40">
        <f t="shared" si="10"/>
        <v>0</v>
      </c>
    </row>
    <row r="64" spans="1:20" s="19" customFormat="1" ht="25.4" customHeight="1">
      <c r="A64" s="19" t="s">
        <v>492</v>
      </c>
      <c r="B64" s="19" t="s">
        <v>718</v>
      </c>
      <c r="D64" s="26" t="s">
        <v>167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96">
        <f t="shared" si="8"/>
        <v>0</v>
      </c>
      <c r="R64" s="39">
        <f t="shared" si="9"/>
        <v>0</v>
      </c>
      <c r="S64" s="35"/>
      <c r="T64" s="40">
        <f t="shared" si="10"/>
        <v>0</v>
      </c>
    </row>
    <row r="65" spans="1:20" s="19" customFormat="1" ht="25.4" customHeight="1">
      <c r="A65" s="19" t="s">
        <v>494</v>
      </c>
      <c r="B65" s="19" t="s">
        <v>718</v>
      </c>
      <c r="D65" s="26" t="s">
        <v>169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96">
        <f t="shared" si="8"/>
        <v>0</v>
      </c>
      <c r="R65" s="39">
        <f t="shared" si="9"/>
        <v>0</v>
      </c>
      <c r="S65" s="35"/>
      <c r="T65" s="40">
        <f t="shared" si="10"/>
        <v>0</v>
      </c>
    </row>
    <row r="66" spans="1:20" s="3" customFormat="1" ht="25.4" customHeight="1">
      <c r="A66" s="3" t="s">
        <v>496</v>
      </c>
      <c r="B66" s="3" t="s">
        <v>718</v>
      </c>
      <c r="D66" s="26" t="s">
        <v>171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96">
        <f t="shared" si="8"/>
        <v>0</v>
      </c>
      <c r="R66" s="39">
        <f t="shared" si="9"/>
        <v>0</v>
      </c>
      <c r="S66" s="35"/>
      <c r="T66" s="40">
        <f t="shared" si="10"/>
        <v>0</v>
      </c>
    </row>
    <row r="67" spans="1:20" s="3" customFormat="1" ht="25.4" customHeight="1">
      <c r="A67" s="3" t="s">
        <v>497</v>
      </c>
      <c r="B67" s="3" t="s">
        <v>718</v>
      </c>
      <c r="D67" s="26" t="s">
        <v>173</v>
      </c>
      <c r="E67" s="90">
        <v>1000</v>
      </c>
      <c r="F67" s="90">
        <v>1000</v>
      </c>
      <c r="G67" s="90">
        <v>1000</v>
      </c>
      <c r="H67" s="90">
        <v>1000</v>
      </c>
      <c r="I67" s="90">
        <v>1500</v>
      </c>
      <c r="J67" s="90">
        <v>1500</v>
      </c>
      <c r="K67" s="90">
        <v>1500</v>
      </c>
      <c r="L67" s="90">
        <v>1500</v>
      </c>
      <c r="M67" s="90">
        <v>1500</v>
      </c>
      <c r="N67" s="90">
        <v>2000</v>
      </c>
      <c r="O67" s="90">
        <v>2000</v>
      </c>
      <c r="P67" s="90">
        <v>5000</v>
      </c>
      <c r="Q67" s="96">
        <f t="shared" si="8"/>
        <v>20500</v>
      </c>
      <c r="R67" s="39">
        <f t="shared" si="9"/>
        <v>4.0869218500797451E-2</v>
      </c>
      <c r="S67" s="35"/>
      <c r="T67" s="40" t="e">
        <f t="shared" si="10"/>
        <v>#DIV/0!</v>
      </c>
    </row>
    <row r="68" spans="1:20" s="3" customFormat="1" ht="25.4" customHeight="1">
      <c r="A68" s="254" t="s">
        <v>498</v>
      </c>
      <c r="B68" s="51" t="s">
        <v>718</v>
      </c>
      <c r="D68" s="26" t="s">
        <v>175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96">
        <f t="shared" si="8"/>
        <v>0</v>
      </c>
      <c r="R68" s="39">
        <f t="shared" si="9"/>
        <v>0</v>
      </c>
      <c r="S68" s="35"/>
      <c r="T68" s="40">
        <f t="shared" si="10"/>
        <v>0</v>
      </c>
    </row>
    <row r="69" spans="1:20" s="3" customFormat="1" ht="25.4" customHeight="1">
      <c r="A69" s="254" t="s">
        <v>500</v>
      </c>
      <c r="B69" s="51" t="s">
        <v>718</v>
      </c>
      <c r="D69" s="26" t="s">
        <v>177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96">
        <f t="shared" si="8"/>
        <v>0</v>
      </c>
      <c r="R69" s="39">
        <f t="shared" si="9"/>
        <v>0</v>
      </c>
      <c r="S69" s="35"/>
      <c r="T69" s="40">
        <f t="shared" si="10"/>
        <v>0</v>
      </c>
    </row>
    <row r="70" spans="1:20" s="3" customFormat="1" ht="25.4" customHeight="1">
      <c r="A70" s="3" t="s">
        <v>502</v>
      </c>
      <c r="B70" s="51" t="s">
        <v>718</v>
      </c>
      <c r="D70" s="26" t="s">
        <v>179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96">
        <f t="shared" si="8"/>
        <v>0</v>
      </c>
      <c r="R70" s="39">
        <f t="shared" si="9"/>
        <v>0</v>
      </c>
      <c r="S70" s="35"/>
      <c r="T70" s="40">
        <f t="shared" si="10"/>
        <v>0</v>
      </c>
    </row>
    <row r="71" spans="1:20" s="3" customFormat="1" ht="25.4" customHeight="1">
      <c r="A71" s="3" t="s">
        <v>504</v>
      </c>
      <c r="B71" s="51" t="s">
        <v>718</v>
      </c>
      <c r="D71" s="26" t="s">
        <v>181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96">
        <f t="shared" si="8"/>
        <v>0</v>
      </c>
      <c r="R71" s="39">
        <f t="shared" si="9"/>
        <v>0</v>
      </c>
      <c r="S71" s="35"/>
      <c r="T71" s="40">
        <f t="shared" si="10"/>
        <v>0</v>
      </c>
    </row>
    <row r="72" spans="1:20" s="3" customFormat="1" ht="25.4" customHeight="1">
      <c r="A72" s="254" t="s">
        <v>506</v>
      </c>
      <c r="B72" s="51" t="s">
        <v>718</v>
      </c>
      <c r="D72" s="26" t="s">
        <v>183</v>
      </c>
      <c r="E72" s="90">
        <v>1500</v>
      </c>
      <c r="F72" s="90">
        <v>200</v>
      </c>
      <c r="G72" s="90">
        <v>200</v>
      </c>
      <c r="H72" s="90">
        <v>200</v>
      </c>
      <c r="I72" s="90">
        <v>200</v>
      </c>
      <c r="J72" s="90">
        <v>200</v>
      </c>
      <c r="K72" s="90">
        <v>200</v>
      </c>
      <c r="L72" s="90">
        <v>1500</v>
      </c>
      <c r="M72" s="90">
        <v>200</v>
      </c>
      <c r="N72" s="90">
        <v>200</v>
      </c>
      <c r="O72" s="90">
        <v>200</v>
      </c>
      <c r="P72" s="90">
        <v>200</v>
      </c>
      <c r="Q72" s="96">
        <f t="shared" si="8"/>
        <v>5000</v>
      </c>
      <c r="R72" s="39">
        <f t="shared" si="9"/>
        <v>9.9681020733652318E-3</v>
      </c>
      <c r="S72" s="35"/>
      <c r="T72" s="40" t="e">
        <f t="shared" si="10"/>
        <v>#DIV/0!</v>
      </c>
    </row>
    <row r="73" spans="1:20" s="3" customFormat="1" ht="25.4" customHeight="1">
      <c r="A73" s="54" t="s">
        <v>508</v>
      </c>
      <c r="B73" s="51" t="s">
        <v>718</v>
      </c>
      <c r="D73" s="26" t="s">
        <v>185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96">
        <f t="shared" si="8"/>
        <v>0</v>
      </c>
      <c r="R73" s="39">
        <f t="shared" si="9"/>
        <v>0</v>
      </c>
      <c r="S73" s="35"/>
      <c r="T73" s="40">
        <f t="shared" si="10"/>
        <v>0</v>
      </c>
    </row>
    <row r="74" spans="1:20" s="3" customFormat="1" ht="25.4" customHeight="1">
      <c r="A74" s="254" t="s">
        <v>510</v>
      </c>
      <c r="B74" s="3" t="s">
        <v>718</v>
      </c>
      <c r="D74" s="26" t="s">
        <v>187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96">
        <f t="shared" si="8"/>
        <v>0</v>
      </c>
      <c r="R74" s="39">
        <f t="shared" si="9"/>
        <v>0</v>
      </c>
      <c r="S74" s="35"/>
      <c r="T74" s="40">
        <f t="shared" si="10"/>
        <v>0</v>
      </c>
    </row>
    <row r="75" spans="1:20" s="3" customFormat="1" ht="25.4" customHeight="1">
      <c r="A75" s="254" t="s">
        <v>512</v>
      </c>
      <c r="B75" s="51" t="s">
        <v>718</v>
      </c>
      <c r="D75" s="26" t="s">
        <v>189</v>
      </c>
      <c r="E75" s="27">
        <v>2500</v>
      </c>
      <c r="F75" s="27">
        <v>2500</v>
      </c>
      <c r="G75" s="27">
        <v>2500</v>
      </c>
      <c r="H75" s="27">
        <v>2500</v>
      </c>
      <c r="I75" s="27">
        <v>2500</v>
      </c>
      <c r="J75" s="27">
        <v>3000</v>
      </c>
      <c r="K75" s="27">
        <v>3000</v>
      </c>
      <c r="L75" s="27">
        <v>3000</v>
      </c>
      <c r="M75" s="27">
        <v>3000</v>
      </c>
      <c r="N75" s="27">
        <v>3000</v>
      </c>
      <c r="O75" s="27">
        <v>2500</v>
      </c>
      <c r="P75" s="27">
        <v>2500</v>
      </c>
      <c r="Q75" s="96">
        <f t="shared" si="8"/>
        <v>32500</v>
      </c>
      <c r="R75" s="39">
        <f t="shared" si="9"/>
        <v>6.4792663476873999E-2</v>
      </c>
      <c r="S75" s="35"/>
      <c r="T75" s="40" t="e">
        <f t="shared" si="10"/>
        <v>#DIV/0!</v>
      </c>
    </row>
    <row r="76" spans="1:20" s="3" customFormat="1" ht="25.4" customHeight="1">
      <c r="A76" s="254" t="s">
        <v>514</v>
      </c>
      <c r="B76" s="51" t="s">
        <v>718</v>
      </c>
      <c r="D76" s="26" t="s">
        <v>191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96">
        <f t="shared" si="8"/>
        <v>0</v>
      </c>
      <c r="R76" s="39">
        <f t="shared" si="9"/>
        <v>0</v>
      </c>
      <c r="S76" s="35"/>
      <c r="T76" s="40">
        <f t="shared" si="10"/>
        <v>0</v>
      </c>
    </row>
    <row r="77" spans="1:20" s="19" customFormat="1" ht="25.4" customHeight="1">
      <c r="A77" s="254" t="s">
        <v>516</v>
      </c>
      <c r="B77" s="51" t="s">
        <v>718</v>
      </c>
      <c r="D77" s="26" t="s">
        <v>193</v>
      </c>
      <c r="E77" s="90">
        <v>5000</v>
      </c>
      <c r="F77" s="90">
        <v>200</v>
      </c>
      <c r="G77" s="90">
        <v>200</v>
      </c>
      <c r="H77" s="90">
        <v>200</v>
      </c>
      <c r="I77" s="90">
        <v>5000</v>
      </c>
      <c r="J77" s="90">
        <v>200</v>
      </c>
      <c r="K77" s="90">
        <v>200</v>
      </c>
      <c r="L77" s="90">
        <v>200</v>
      </c>
      <c r="M77" s="90">
        <v>5000</v>
      </c>
      <c r="N77" s="90">
        <v>200</v>
      </c>
      <c r="O77" s="90">
        <v>200</v>
      </c>
      <c r="P77" s="90">
        <v>200</v>
      </c>
      <c r="Q77" s="96">
        <f t="shared" si="8"/>
        <v>16800</v>
      </c>
      <c r="R77" s="39">
        <f t="shared" si="9"/>
        <v>3.3492822966507178E-2</v>
      </c>
      <c r="S77" s="35"/>
      <c r="T77" s="40" t="e">
        <f t="shared" si="10"/>
        <v>#DIV/0!</v>
      </c>
    </row>
    <row r="78" spans="1:20" s="3" customFormat="1" ht="25.4" customHeight="1">
      <c r="A78" s="50" t="s">
        <v>518</v>
      </c>
      <c r="B78" s="3" t="s">
        <v>718</v>
      </c>
      <c r="D78" s="26" t="s">
        <v>195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96">
        <f t="shared" si="8"/>
        <v>0</v>
      </c>
      <c r="R78" s="39">
        <f t="shared" si="9"/>
        <v>0</v>
      </c>
      <c r="S78" s="35"/>
      <c r="T78" s="40">
        <f t="shared" si="10"/>
        <v>0</v>
      </c>
    </row>
    <row r="79" spans="1:20" s="3" customFormat="1" ht="25.4" customHeight="1">
      <c r="A79" s="254" t="s">
        <v>520</v>
      </c>
      <c r="B79" s="51" t="s">
        <v>718</v>
      </c>
      <c r="D79" s="26" t="s">
        <v>197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96">
        <f t="shared" si="8"/>
        <v>0</v>
      </c>
      <c r="R79" s="39">
        <f t="shared" si="9"/>
        <v>0</v>
      </c>
      <c r="S79" s="35"/>
      <c r="T79" s="40">
        <f t="shared" si="10"/>
        <v>0</v>
      </c>
    </row>
    <row r="80" spans="1:20" s="3" customFormat="1" ht="25.4" customHeight="1">
      <c r="A80" s="254" t="s">
        <v>522</v>
      </c>
      <c r="B80" s="51" t="s">
        <v>718</v>
      </c>
      <c r="D80" s="26" t="s">
        <v>199</v>
      </c>
      <c r="E80" s="27">
        <f>12*E159</f>
        <v>96</v>
      </c>
      <c r="F80" s="27">
        <f t="shared" ref="F80:P80" si="11">12*F159</f>
        <v>108</v>
      </c>
      <c r="G80" s="27">
        <f t="shared" si="11"/>
        <v>108</v>
      </c>
      <c r="H80" s="27">
        <f t="shared" si="11"/>
        <v>120</v>
      </c>
      <c r="I80" s="27">
        <f t="shared" si="11"/>
        <v>144</v>
      </c>
      <c r="J80" s="27">
        <f t="shared" si="11"/>
        <v>144</v>
      </c>
      <c r="K80" s="27">
        <f t="shared" si="11"/>
        <v>144</v>
      </c>
      <c r="L80" s="27">
        <f t="shared" si="11"/>
        <v>144</v>
      </c>
      <c r="M80" s="27">
        <f t="shared" si="11"/>
        <v>144</v>
      </c>
      <c r="N80" s="27">
        <f t="shared" si="11"/>
        <v>156</v>
      </c>
      <c r="O80" s="27">
        <f t="shared" si="11"/>
        <v>108</v>
      </c>
      <c r="P80" s="27">
        <f t="shared" si="11"/>
        <v>108</v>
      </c>
      <c r="Q80" s="96">
        <f t="shared" si="8"/>
        <v>1524</v>
      </c>
      <c r="R80" s="39">
        <f t="shared" si="9"/>
        <v>3.0382775119617224E-3</v>
      </c>
      <c r="S80" s="35"/>
      <c r="T80" s="40" t="e">
        <f t="shared" si="10"/>
        <v>#DIV/0!</v>
      </c>
    </row>
    <row r="81" spans="1:20" s="3" customFormat="1" ht="25.4" customHeight="1">
      <c r="A81" s="254" t="s">
        <v>524</v>
      </c>
      <c r="B81" s="51" t="s">
        <v>718</v>
      </c>
      <c r="D81" s="26" t="s">
        <v>201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96">
        <f t="shared" si="8"/>
        <v>0</v>
      </c>
      <c r="R81" s="39">
        <f t="shared" si="9"/>
        <v>0</v>
      </c>
      <c r="S81" s="35"/>
      <c r="T81" s="40">
        <f t="shared" si="10"/>
        <v>0</v>
      </c>
    </row>
    <row r="82" spans="1:20" s="3" customFormat="1" ht="25.4" customHeight="1">
      <c r="A82" s="254" t="s">
        <v>526</v>
      </c>
      <c r="B82" s="51" t="s">
        <v>718</v>
      </c>
      <c r="D82" s="26" t="s">
        <v>203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96">
        <f t="shared" si="8"/>
        <v>0</v>
      </c>
      <c r="R82" s="39">
        <f t="shared" si="9"/>
        <v>0</v>
      </c>
      <c r="S82" s="35"/>
      <c r="T82" s="40">
        <f t="shared" si="10"/>
        <v>0</v>
      </c>
    </row>
    <row r="83" spans="1:20" s="3" customFormat="1" ht="25.4" customHeight="1">
      <c r="A83" s="254" t="s">
        <v>528</v>
      </c>
      <c r="B83" s="51" t="s">
        <v>718</v>
      </c>
      <c r="D83" s="26" t="s">
        <v>205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96">
        <f t="shared" si="8"/>
        <v>0</v>
      </c>
      <c r="R83" s="39">
        <f t="shared" si="9"/>
        <v>0</v>
      </c>
      <c r="S83" s="35"/>
      <c r="T83" s="40">
        <f t="shared" si="10"/>
        <v>0</v>
      </c>
    </row>
    <row r="84" spans="1:20" s="3" customFormat="1" ht="25.4" customHeight="1">
      <c r="A84" s="254" t="s">
        <v>530</v>
      </c>
      <c r="B84" s="51" t="s">
        <v>718</v>
      </c>
      <c r="D84" s="26" t="s">
        <v>207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96">
        <f t="shared" si="8"/>
        <v>0</v>
      </c>
      <c r="R84" s="39">
        <f t="shared" si="9"/>
        <v>0</v>
      </c>
      <c r="S84" s="35"/>
      <c r="T84" s="40">
        <f t="shared" si="10"/>
        <v>0</v>
      </c>
    </row>
    <row r="85" spans="1:20" s="3" customFormat="1" ht="25.4" customHeight="1">
      <c r="A85" s="254" t="s">
        <v>532</v>
      </c>
      <c r="B85" s="51" t="s">
        <v>718</v>
      </c>
      <c r="D85" s="26" t="s">
        <v>209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96">
        <f t="shared" si="8"/>
        <v>0</v>
      </c>
      <c r="R85" s="39">
        <f t="shared" si="9"/>
        <v>0</v>
      </c>
      <c r="S85" s="35"/>
      <c r="T85" s="40">
        <f t="shared" si="10"/>
        <v>0</v>
      </c>
    </row>
    <row r="86" spans="1:20" s="3" customFormat="1" ht="25.4" customHeight="1">
      <c r="A86" s="254" t="s">
        <v>534</v>
      </c>
      <c r="B86" s="51" t="s">
        <v>718</v>
      </c>
      <c r="D86" s="26" t="s">
        <v>211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96">
        <f t="shared" si="8"/>
        <v>0</v>
      </c>
      <c r="R86" s="39">
        <f t="shared" si="9"/>
        <v>0</v>
      </c>
      <c r="S86" s="35"/>
      <c r="T86" s="40">
        <f t="shared" si="10"/>
        <v>0</v>
      </c>
    </row>
    <row r="87" spans="1:20" s="19" customFormat="1" ht="25.4" customHeight="1">
      <c r="A87" s="254" t="s">
        <v>536</v>
      </c>
      <c r="B87" s="51" t="s">
        <v>718</v>
      </c>
      <c r="D87" s="26" t="s">
        <v>213</v>
      </c>
      <c r="E87" s="27">
        <v>5000</v>
      </c>
      <c r="F87" s="27">
        <v>1000</v>
      </c>
      <c r="G87" s="27">
        <v>1000</v>
      </c>
      <c r="H87" s="27">
        <v>1000</v>
      </c>
      <c r="I87" s="27">
        <v>1000</v>
      </c>
      <c r="J87" s="27">
        <v>1000</v>
      </c>
      <c r="K87" s="27">
        <v>1000</v>
      </c>
      <c r="L87" s="27">
        <v>1000</v>
      </c>
      <c r="M87" s="27">
        <v>1000</v>
      </c>
      <c r="N87" s="27">
        <v>1000</v>
      </c>
      <c r="O87" s="27">
        <v>1000</v>
      </c>
      <c r="P87" s="27">
        <v>1000</v>
      </c>
      <c r="Q87" s="96">
        <f t="shared" si="8"/>
        <v>16000</v>
      </c>
      <c r="R87" s="39">
        <f t="shared" si="9"/>
        <v>3.1897926634768738E-2</v>
      </c>
      <c r="S87" s="35"/>
      <c r="T87" s="40"/>
    </row>
    <row r="88" spans="1:20" s="19" customFormat="1" ht="25.4" customHeight="1">
      <c r="A88" s="254" t="s">
        <v>538</v>
      </c>
      <c r="B88" s="51" t="s">
        <v>718</v>
      </c>
      <c r="D88" s="26" t="s">
        <v>215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96">
        <f t="shared" si="8"/>
        <v>0</v>
      </c>
      <c r="R88" s="39">
        <f t="shared" si="9"/>
        <v>0</v>
      </c>
      <c r="S88" s="35"/>
      <c r="T88" s="40"/>
    </row>
    <row r="89" spans="1:20" s="3" customFormat="1" ht="25.4" customHeight="1">
      <c r="A89" s="3" t="s">
        <v>540</v>
      </c>
      <c r="B89" s="51" t="s">
        <v>718</v>
      </c>
      <c r="D89" s="26" t="s">
        <v>217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96">
        <f t="shared" si="8"/>
        <v>0</v>
      </c>
      <c r="R89" s="39">
        <f t="shared" si="9"/>
        <v>0</v>
      </c>
      <c r="S89" s="35"/>
      <c r="T89" s="40"/>
    </row>
    <row r="90" spans="1:20" s="3" customFormat="1" ht="25.4" customHeight="1">
      <c r="A90" s="3" t="s">
        <v>542</v>
      </c>
      <c r="B90" s="51" t="s">
        <v>718</v>
      </c>
      <c r="D90" s="26" t="s">
        <v>219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96">
        <f t="shared" si="8"/>
        <v>0</v>
      </c>
      <c r="R90" s="39">
        <f t="shared" si="9"/>
        <v>0</v>
      </c>
      <c r="S90" s="35"/>
      <c r="T90" s="40"/>
    </row>
    <row r="91" spans="1:20" s="3" customFormat="1" ht="25.4" customHeight="1">
      <c r="A91" s="3" t="s">
        <v>544</v>
      </c>
      <c r="B91" s="51" t="s">
        <v>718</v>
      </c>
      <c r="D91" s="26" t="s">
        <v>221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96">
        <f t="shared" si="8"/>
        <v>0</v>
      </c>
      <c r="R91" s="39">
        <f t="shared" si="9"/>
        <v>0</v>
      </c>
      <c r="S91" s="35"/>
      <c r="T91" s="40"/>
    </row>
    <row r="92" spans="1:20" s="3" customFormat="1" ht="25.4" customHeight="1">
      <c r="A92" s="3" t="s">
        <v>546</v>
      </c>
      <c r="B92" s="51" t="s">
        <v>718</v>
      </c>
      <c r="D92" s="26" t="s">
        <v>223</v>
      </c>
      <c r="E92" s="27">
        <v>50</v>
      </c>
      <c r="F92" s="27">
        <v>50</v>
      </c>
      <c r="G92" s="27">
        <v>50</v>
      </c>
      <c r="H92" s="27">
        <v>50</v>
      </c>
      <c r="I92" s="27">
        <v>50</v>
      </c>
      <c r="J92" s="27">
        <v>50</v>
      </c>
      <c r="K92" s="27">
        <v>50</v>
      </c>
      <c r="L92" s="27">
        <v>50</v>
      </c>
      <c r="M92" s="27">
        <v>50</v>
      </c>
      <c r="N92" s="27">
        <v>50</v>
      </c>
      <c r="O92" s="27">
        <v>50</v>
      </c>
      <c r="P92" s="27">
        <v>50</v>
      </c>
      <c r="Q92" s="96">
        <f t="shared" si="8"/>
        <v>600</v>
      </c>
      <c r="R92" s="39">
        <f t="shared" si="9"/>
        <v>1.1961722488038277E-3</v>
      </c>
      <c r="S92" s="35"/>
      <c r="T92" s="40"/>
    </row>
    <row r="93" spans="1:20" s="3" customFormat="1" ht="25.4" customHeight="1">
      <c r="A93" s="3" t="s">
        <v>548</v>
      </c>
      <c r="B93" s="51" t="s">
        <v>718</v>
      </c>
      <c r="D93" s="26" t="s">
        <v>225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96">
        <f t="shared" si="8"/>
        <v>0</v>
      </c>
      <c r="R93" s="39">
        <f t="shared" si="9"/>
        <v>0</v>
      </c>
      <c r="S93" s="35"/>
      <c r="T93" s="40">
        <f t="shared" si="10"/>
        <v>0</v>
      </c>
    </row>
    <row r="94" spans="1:20" s="3" customFormat="1" ht="25.4" hidden="1" customHeight="1">
      <c r="A94" s="3" t="s">
        <v>550</v>
      </c>
      <c r="B94" s="51" t="s">
        <v>718</v>
      </c>
      <c r="D94" s="26" t="s">
        <v>227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96">
        <f t="shared" si="8"/>
        <v>0</v>
      </c>
      <c r="R94" s="39">
        <f t="shared" si="9"/>
        <v>0</v>
      </c>
      <c r="S94" s="35"/>
      <c r="T94" s="40">
        <f t="shared" si="10"/>
        <v>0</v>
      </c>
    </row>
    <row r="95" spans="1:20" s="3" customFormat="1" ht="25.4" hidden="1" customHeight="1">
      <c r="A95" s="3" t="s">
        <v>552</v>
      </c>
      <c r="B95" s="51" t="s">
        <v>718</v>
      </c>
      <c r="D95" s="26" t="s">
        <v>229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96">
        <f t="shared" si="8"/>
        <v>0</v>
      </c>
      <c r="R95" s="39">
        <f t="shared" si="9"/>
        <v>0</v>
      </c>
      <c r="S95" s="35"/>
      <c r="T95" s="40">
        <f t="shared" si="10"/>
        <v>0</v>
      </c>
    </row>
    <row r="96" spans="1:20" s="3" customFormat="1" ht="25.4" hidden="1" customHeight="1">
      <c r="A96" s="3" t="s">
        <v>554</v>
      </c>
      <c r="B96" s="51" t="s">
        <v>718</v>
      </c>
      <c r="D96" s="26" t="s">
        <v>231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96">
        <f t="shared" si="8"/>
        <v>0</v>
      </c>
      <c r="R96" s="39">
        <f t="shared" si="9"/>
        <v>0</v>
      </c>
      <c r="S96" s="35"/>
      <c r="T96" s="40">
        <f t="shared" si="10"/>
        <v>0</v>
      </c>
    </row>
    <row r="97" spans="1:22" s="3" customFormat="1" ht="25.4" hidden="1" customHeight="1">
      <c r="A97" s="254" t="s">
        <v>556</v>
      </c>
      <c r="B97" s="51" t="s">
        <v>718</v>
      </c>
      <c r="D97" s="26" t="s">
        <v>233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96">
        <f t="shared" si="8"/>
        <v>0</v>
      </c>
      <c r="R97" s="39">
        <f t="shared" si="9"/>
        <v>0</v>
      </c>
      <c r="S97" s="35"/>
      <c r="T97" s="40">
        <f t="shared" si="10"/>
        <v>0</v>
      </c>
    </row>
    <row r="98" spans="1:22" s="3" customFormat="1" ht="25.4" hidden="1" customHeight="1">
      <c r="A98" s="254" t="s">
        <v>558</v>
      </c>
      <c r="B98" s="51" t="s">
        <v>718</v>
      </c>
      <c r="D98" s="26" t="s">
        <v>235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96">
        <f t="shared" si="8"/>
        <v>0</v>
      </c>
      <c r="R98" s="39">
        <f t="shared" si="9"/>
        <v>0</v>
      </c>
      <c r="S98" s="35"/>
      <c r="T98" s="40">
        <f t="shared" si="10"/>
        <v>0</v>
      </c>
    </row>
    <row r="99" spans="1:22" s="3" customFormat="1" ht="25.4" hidden="1" customHeight="1">
      <c r="A99" s="254" t="s">
        <v>422</v>
      </c>
      <c r="B99" s="51" t="s">
        <v>718</v>
      </c>
      <c r="D99" s="26" t="s">
        <v>423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96">
        <f t="shared" si="8"/>
        <v>0</v>
      </c>
      <c r="R99" s="39">
        <f t="shared" si="9"/>
        <v>0</v>
      </c>
      <c r="S99" s="35"/>
      <c r="T99" s="40">
        <f t="shared" si="10"/>
        <v>0</v>
      </c>
    </row>
    <row r="100" spans="1:22" ht="26.25" hidden="1" customHeight="1">
      <c r="A100" s="254" t="s">
        <v>560</v>
      </c>
      <c r="B100" s="51" t="s">
        <v>718</v>
      </c>
      <c r="D100" s="26" t="s">
        <v>237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96">
        <f t="shared" si="8"/>
        <v>0</v>
      </c>
      <c r="R100" s="39">
        <f t="shared" si="9"/>
        <v>0</v>
      </c>
      <c r="S100" s="35"/>
      <c r="T100" s="40">
        <f t="shared" si="10"/>
        <v>0</v>
      </c>
    </row>
    <row r="101" spans="1:22" ht="26.25" hidden="1" customHeight="1">
      <c r="A101" s="254" t="s">
        <v>562</v>
      </c>
      <c r="B101" s="51" t="s">
        <v>718</v>
      </c>
      <c r="D101" s="26" t="s">
        <v>239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96">
        <f t="shared" si="8"/>
        <v>0</v>
      </c>
      <c r="R101" s="39">
        <f t="shared" si="9"/>
        <v>0</v>
      </c>
      <c r="S101" s="35"/>
      <c r="T101" s="40">
        <f t="shared" si="10"/>
        <v>0</v>
      </c>
    </row>
    <row r="102" spans="1:22" ht="26.25" hidden="1" customHeight="1">
      <c r="A102" s="254" t="s">
        <v>564</v>
      </c>
      <c r="B102" s="51" t="s">
        <v>718</v>
      </c>
      <c r="D102" s="26" t="s">
        <v>241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96">
        <f t="shared" si="8"/>
        <v>0</v>
      </c>
      <c r="R102" s="39">
        <f t="shared" si="9"/>
        <v>0</v>
      </c>
      <c r="S102" s="35"/>
      <c r="T102" s="40">
        <f t="shared" si="10"/>
        <v>0</v>
      </c>
    </row>
    <row r="103" spans="1:22" ht="26.25" hidden="1" customHeight="1">
      <c r="A103" s="254" t="s">
        <v>566</v>
      </c>
      <c r="B103" s="51" t="s">
        <v>718</v>
      </c>
      <c r="D103" s="26" t="s">
        <v>243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96">
        <f t="shared" si="8"/>
        <v>0</v>
      </c>
      <c r="R103" s="39">
        <f t="shared" si="9"/>
        <v>0</v>
      </c>
      <c r="S103" s="35"/>
      <c r="T103" s="40">
        <f t="shared" si="10"/>
        <v>0</v>
      </c>
    </row>
    <row r="104" spans="1:22" ht="26.25" hidden="1" customHeight="1">
      <c r="A104" s="254" t="s">
        <v>568</v>
      </c>
      <c r="B104" s="51" t="s">
        <v>718</v>
      </c>
      <c r="D104" s="26" t="s">
        <v>245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96">
        <f t="shared" si="8"/>
        <v>0</v>
      </c>
      <c r="R104" s="39">
        <f t="shared" si="9"/>
        <v>0</v>
      </c>
      <c r="S104" s="35"/>
      <c r="T104" s="40">
        <f t="shared" si="10"/>
        <v>0</v>
      </c>
    </row>
    <row r="105" spans="1:22" ht="26.25" hidden="1" customHeight="1">
      <c r="A105" s="254" t="s">
        <v>570</v>
      </c>
      <c r="B105" s="51" t="s">
        <v>718</v>
      </c>
      <c r="D105" s="26" t="s">
        <v>247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96">
        <f t="shared" si="8"/>
        <v>0</v>
      </c>
      <c r="R105" s="39">
        <f t="shared" si="9"/>
        <v>0</v>
      </c>
      <c r="S105" s="35"/>
      <c r="T105" s="40">
        <f t="shared" si="10"/>
        <v>0</v>
      </c>
    </row>
    <row r="106" spans="1:22" ht="26.25" customHeight="1">
      <c r="A106" s="254" t="s">
        <v>572</v>
      </c>
      <c r="B106" s="51" t="s">
        <v>718</v>
      </c>
      <c r="D106" s="26" t="s">
        <v>249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96">
        <f t="shared" si="8"/>
        <v>0</v>
      </c>
      <c r="R106" s="39">
        <f t="shared" si="9"/>
        <v>0</v>
      </c>
      <c r="S106" s="35"/>
      <c r="T106" s="40">
        <f t="shared" si="10"/>
        <v>0</v>
      </c>
    </row>
    <row r="107" spans="1:22" ht="26.25" customHeight="1">
      <c r="A107" s="254" t="s">
        <v>574</v>
      </c>
      <c r="B107" s="51" t="s">
        <v>718</v>
      </c>
      <c r="D107" s="26" t="s">
        <v>251</v>
      </c>
      <c r="E107" s="90">
        <v>100</v>
      </c>
      <c r="F107" s="90">
        <v>100</v>
      </c>
      <c r="G107" s="90">
        <v>100</v>
      </c>
      <c r="H107" s="90">
        <v>100</v>
      </c>
      <c r="I107" s="90">
        <v>300</v>
      </c>
      <c r="J107" s="90">
        <v>100</v>
      </c>
      <c r="K107" s="90">
        <v>100</v>
      </c>
      <c r="L107" s="90">
        <v>100</v>
      </c>
      <c r="M107" s="90">
        <v>300</v>
      </c>
      <c r="N107" s="90">
        <v>100</v>
      </c>
      <c r="O107" s="90">
        <v>100</v>
      </c>
      <c r="P107" s="90">
        <v>100</v>
      </c>
      <c r="Q107" s="96">
        <f t="shared" si="8"/>
        <v>1600</v>
      </c>
      <c r="R107" s="39">
        <f t="shared" si="9"/>
        <v>3.189792663476874E-3</v>
      </c>
      <c r="S107" s="35"/>
      <c r="T107" s="40" t="e">
        <f t="shared" si="10"/>
        <v>#DIV/0!</v>
      </c>
    </row>
    <row r="108" spans="1:22" ht="26.25" customHeight="1">
      <c r="A108" s="254" t="s">
        <v>576</v>
      </c>
      <c r="B108" s="51" t="s">
        <v>718</v>
      </c>
      <c r="D108" s="26" t="s">
        <v>253</v>
      </c>
      <c r="E108" s="90">
        <v>2338.4</v>
      </c>
      <c r="F108" s="90">
        <v>2313.2699999999995</v>
      </c>
      <c r="G108" s="90">
        <v>2253.69</v>
      </c>
      <c r="H108" s="90">
        <v>2567.6</v>
      </c>
      <c r="I108" s="90">
        <v>3034.22</v>
      </c>
      <c r="J108" s="90">
        <v>2794.55</v>
      </c>
      <c r="K108" s="90">
        <v>2715.97</v>
      </c>
      <c r="L108" s="90">
        <v>2725.5700000000006</v>
      </c>
      <c r="M108" s="90">
        <v>2781.49</v>
      </c>
      <c r="N108" s="90">
        <v>3259.4700000000003</v>
      </c>
      <c r="O108" s="90">
        <v>2022.39</v>
      </c>
      <c r="P108" s="90">
        <v>2001.6000000000004</v>
      </c>
      <c r="Q108" s="96">
        <f t="shared" si="8"/>
        <v>30808.22</v>
      </c>
      <c r="R108" s="39">
        <f t="shared" si="9"/>
        <v>6.1419896331738437E-2</v>
      </c>
      <c r="S108" s="35"/>
      <c r="T108" s="40" t="e">
        <f t="shared" si="10"/>
        <v>#DIV/0!</v>
      </c>
    </row>
    <row r="109" spans="1:22" ht="26.25" customHeight="1">
      <c r="A109" s="254" t="s">
        <v>578</v>
      </c>
      <c r="B109" s="51" t="s">
        <v>718</v>
      </c>
      <c r="D109" s="26" t="s">
        <v>255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96">
        <f t="shared" si="8"/>
        <v>0</v>
      </c>
      <c r="R109" s="39">
        <f t="shared" si="9"/>
        <v>0</v>
      </c>
      <c r="S109" s="35"/>
      <c r="T109" s="40">
        <f t="shared" si="10"/>
        <v>0</v>
      </c>
    </row>
    <row r="110" spans="1:22" ht="26.25" customHeight="1">
      <c r="A110" s="254" t="s">
        <v>580</v>
      </c>
      <c r="B110" s="51" t="s">
        <v>718</v>
      </c>
      <c r="D110" s="26" t="s">
        <v>257</v>
      </c>
      <c r="E110" s="27">
        <v>400</v>
      </c>
      <c r="F110" s="27">
        <v>400</v>
      </c>
      <c r="G110" s="27">
        <v>400</v>
      </c>
      <c r="H110" s="27">
        <v>400</v>
      </c>
      <c r="I110" s="27">
        <v>400</v>
      </c>
      <c r="J110" s="27">
        <v>400</v>
      </c>
      <c r="K110" s="27">
        <v>400</v>
      </c>
      <c r="L110" s="27">
        <v>400</v>
      </c>
      <c r="M110" s="27">
        <v>400</v>
      </c>
      <c r="N110" s="27">
        <v>400</v>
      </c>
      <c r="O110" s="27">
        <v>400</v>
      </c>
      <c r="P110" s="27">
        <v>400</v>
      </c>
      <c r="Q110" s="96">
        <f t="shared" si="8"/>
        <v>4800</v>
      </c>
      <c r="R110" s="39">
        <f t="shared" si="9"/>
        <v>9.5693779904306216E-3</v>
      </c>
      <c r="S110" s="35"/>
      <c r="T110" s="40" t="e">
        <f t="shared" si="10"/>
        <v>#DIV/0!</v>
      </c>
      <c r="U110" s="5" t="s">
        <v>1225</v>
      </c>
      <c r="V110" s="5">
        <v>400</v>
      </c>
    </row>
    <row r="111" spans="1:22" ht="26.25" customHeight="1">
      <c r="A111" s="254" t="s">
        <v>582</v>
      </c>
      <c r="B111" s="51" t="s">
        <v>718</v>
      </c>
      <c r="D111" s="26" t="s">
        <v>259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96">
        <f t="shared" si="8"/>
        <v>0</v>
      </c>
      <c r="R111" s="39">
        <f t="shared" si="9"/>
        <v>0</v>
      </c>
      <c r="S111" s="35"/>
      <c r="T111" s="40">
        <f t="shared" si="10"/>
        <v>0</v>
      </c>
    </row>
    <row r="112" spans="1:22" ht="26.25" customHeight="1">
      <c r="A112" s="254" t="s">
        <v>584</v>
      </c>
      <c r="B112" s="51" t="s">
        <v>718</v>
      </c>
      <c r="D112" s="26" t="s">
        <v>261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96">
        <f t="shared" si="8"/>
        <v>0</v>
      </c>
      <c r="R112" s="39">
        <f t="shared" si="9"/>
        <v>0</v>
      </c>
      <c r="S112" s="35"/>
      <c r="T112" s="40">
        <f t="shared" si="10"/>
        <v>0</v>
      </c>
    </row>
    <row r="113" spans="1:20" ht="26.25" customHeight="1">
      <c r="A113" s="254" t="s">
        <v>586</v>
      </c>
      <c r="B113" s="51" t="s">
        <v>718</v>
      </c>
      <c r="D113" s="26" t="s">
        <v>263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96">
        <f t="shared" si="8"/>
        <v>0</v>
      </c>
      <c r="R113" s="39">
        <f t="shared" si="9"/>
        <v>0</v>
      </c>
      <c r="S113" s="35"/>
      <c r="T113" s="40">
        <f t="shared" si="10"/>
        <v>0</v>
      </c>
    </row>
    <row r="114" spans="1:20" ht="26.25" hidden="1" customHeight="1">
      <c r="A114" s="254" t="s">
        <v>588</v>
      </c>
      <c r="B114" s="51" t="s">
        <v>718</v>
      </c>
      <c r="D114" s="26" t="s">
        <v>265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96">
        <f t="shared" si="8"/>
        <v>0</v>
      </c>
      <c r="R114" s="39">
        <f t="shared" si="9"/>
        <v>0</v>
      </c>
      <c r="S114" s="35"/>
      <c r="T114" s="40">
        <f t="shared" si="10"/>
        <v>0</v>
      </c>
    </row>
    <row r="115" spans="1:20" ht="26.25" hidden="1" customHeight="1">
      <c r="A115" s="254" t="s">
        <v>590</v>
      </c>
      <c r="B115" s="51" t="s">
        <v>718</v>
      </c>
      <c r="D115" s="26" t="s">
        <v>267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96">
        <f t="shared" si="8"/>
        <v>0</v>
      </c>
      <c r="R115" s="39">
        <f t="shared" si="9"/>
        <v>0</v>
      </c>
      <c r="S115" s="35"/>
      <c r="T115" s="40">
        <f t="shared" si="10"/>
        <v>0</v>
      </c>
    </row>
    <row r="116" spans="1:20" ht="26.25" hidden="1" customHeight="1">
      <c r="A116" s="254" t="s">
        <v>592</v>
      </c>
      <c r="B116" s="51" t="s">
        <v>718</v>
      </c>
      <c r="D116" s="26" t="s">
        <v>269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96">
        <f t="shared" si="8"/>
        <v>0</v>
      </c>
      <c r="R116" s="39">
        <f t="shared" si="9"/>
        <v>0</v>
      </c>
      <c r="S116" s="35"/>
      <c r="T116" s="40">
        <f t="shared" si="10"/>
        <v>0</v>
      </c>
    </row>
    <row r="117" spans="1:20" ht="26.25" hidden="1" customHeight="1">
      <c r="A117" s="254" t="s">
        <v>270</v>
      </c>
      <c r="B117" s="51" t="s">
        <v>718</v>
      </c>
      <c r="D117" s="26" t="s">
        <v>271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96">
        <f>SUM(E117:P117)</f>
        <v>0</v>
      </c>
      <c r="R117" s="39">
        <f t="shared" si="9"/>
        <v>0</v>
      </c>
      <c r="S117" s="35"/>
      <c r="T117" s="40">
        <f t="shared" si="10"/>
        <v>0</v>
      </c>
    </row>
    <row r="118" spans="1:20" ht="26.25" hidden="1" customHeight="1">
      <c r="A118" s="254" t="s">
        <v>272</v>
      </c>
      <c r="B118" s="51" t="s">
        <v>718</v>
      </c>
      <c r="D118" s="26" t="s">
        <v>273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96">
        <f>SUM(E118:P118)</f>
        <v>0</v>
      </c>
      <c r="R118" s="39">
        <f t="shared" si="9"/>
        <v>0</v>
      </c>
      <c r="S118" s="35"/>
      <c r="T118" s="40">
        <f t="shared" si="10"/>
        <v>0</v>
      </c>
    </row>
    <row r="119" spans="1:20" ht="26.25" customHeight="1">
      <c r="A119" s="254" t="s">
        <v>595</v>
      </c>
      <c r="B119" s="51" t="s">
        <v>718</v>
      </c>
      <c r="D119" s="26" t="s">
        <v>275</v>
      </c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6">
        <f>SUM(E119:P119)</f>
        <v>0</v>
      </c>
      <c r="R119" s="39">
        <f t="shared" si="9"/>
        <v>0</v>
      </c>
      <c r="S119" s="35"/>
      <c r="T119" s="40">
        <f t="shared" si="10"/>
        <v>0</v>
      </c>
    </row>
    <row r="120" spans="1:20" ht="26.25" customHeight="1">
      <c r="A120" s="254"/>
      <c r="B120" s="51"/>
      <c r="D120" s="21" t="s">
        <v>758</v>
      </c>
      <c r="E120" s="91">
        <f>SUM(E52:E119)</f>
        <v>19484.400000000001</v>
      </c>
      <c r="F120" s="91">
        <f t="shared" ref="F120:Q120" si="12">SUM(F52:F119)</f>
        <v>9371.27</v>
      </c>
      <c r="G120" s="91">
        <f t="shared" si="12"/>
        <v>9311.69</v>
      </c>
      <c r="H120" s="91">
        <f t="shared" si="12"/>
        <v>9637.6</v>
      </c>
      <c r="I120" s="91">
        <f t="shared" si="12"/>
        <v>15628.22</v>
      </c>
      <c r="J120" s="91">
        <f t="shared" si="12"/>
        <v>10888.55</v>
      </c>
      <c r="K120" s="91">
        <f t="shared" si="12"/>
        <v>10809.97</v>
      </c>
      <c r="L120" s="91">
        <f t="shared" si="12"/>
        <v>12119.57</v>
      </c>
      <c r="M120" s="91">
        <f t="shared" si="12"/>
        <v>15875.49</v>
      </c>
      <c r="N120" s="91">
        <f t="shared" si="12"/>
        <v>11865.470000000001</v>
      </c>
      <c r="O120" s="91">
        <f t="shared" si="12"/>
        <v>10080.39</v>
      </c>
      <c r="P120" s="91">
        <f t="shared" si="12"/>
        <v>16059.6</v>
      </c>
      <c r="Q120" s="91">
        <f t="shared" si="12"/>
        <v>151132.22</v>
      </c>
      <c r="R120" s="39">
        <f t="shared" si="9"/>
        <v>0.30130027910685808</v>
      </c>
      <c r="S120" s="35"/>
      <c r="T120" s="40" t="e">
        <f t="shared" si="10"/>
        <v>#DIV/0!</v>
      </c>
    </row>
    <row r="121" spans="1:20" ht="26.25" customHeight="1">
      <c r="A121" s="254"/>
      <c r="B121" s="51"/>
      <c r="D121" s="21" t="s">
        <v>759</v>
      </c>
      <c r="E121" s="91">
        <f>E28-E47-E49-E120</f>
        <v>-84912.110000000015</v>
      </c>
      <c r="F121" s="91">
        <f t="shared" ref="F121:Q121" si="13">F28-F47-F49-F120</f>
        <v>-68188.350000000006</v>
      </c>
      <c r="G121" s="91">
        <f t="shared" si="13"/>
        <v>-62656.679999999993</v>
      </c>
      <c r="H121" s="91">
        <f t="shared" si="13"/>
        <v>-67453.909999999989</v>
      </c>
      <c r="I121" s="91">
        <f t="shared" si="13"/>
        <v>-88400.22</v>
      </c>
      <c r="J121" s="91">
        <f t="shared" si="13"/>
        <v>-70930.34</v>
      </c>
      <c r="K121" s="91">
        <f t="shared" si="13"/>
        <v>-64706.41</v>
      </c>
      <c r="L121" s="91">
        <f t="shared" si="13"/>
        <v>-72037.489999999991</v>
      </c>
      <c r="M121" s="91">
        <f t="shared" si="13"/>
        <v>-63821.9</v>
      </c>
      <c r="N121" s="91">
        <f t="shared" si="13"/>
        <v>-68925.59</v>
      </c>
      <c r="O121" s="91">
        <f t="shared" si="13"/>
        <v>-14834.119999999995</v>
      </c>
      <c r="P121" s="91">
        <f t="shared" si="13"/>
        <v>-20775.529999999992</v>
      </c>
      <c r="Q121" s="91">
        <f t="shared" si="13"/>
        <v>-747642.64999999991</v>
      </c>
      <c r="R121" s="39">
        <f>Q121/$Q$28</f>
        <v>-1.490515649920255</v>
      </c>
      <c r="S121" s="35"/>
      <c r="T121" s="40" t="e">
        <f t="shared" ref="T121:T123" si="14">IF(Q121-S121=0,0,(Q121-S121)/S121)</f>
        <v>#DIV/0!</v>
      </c>
    </row>
    <row r="122" spans="1:20" ht="26.25" customHeight="1">
      <c r="A122" s="254" t="s">
        <v>760</v>
      </c>
      <c r="B122" s="51" t="s">
        <v>718</v>
      </c>
      <c r="D122" s="21" t="s">
        <v>353</v>
      </c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S122" s="35"/>
      <c r="T122" s="40"/>
    </row>
    <row r="123" spans="1:20" ht="26.25" customHeight="1">
      <c r="A123" s="254"/>
      <c r="B123" s="51"/>
      <c r="E123" s="98">
        <f>E121/E28</f>
        <v>-7.5143460176991166</v>
      </c>
      <c r="F123" s="98">
        <f t="shared" ref="F123:Q123" si="15">F121/F28</f>
        <v>-3.9415231213872834</v>
      </c>
      <c r="G123" s="98">
        <f t="shared" si="15"/>
        <v>-2.689127896995708</v>
      </c>
      <c r="H123" s="98">
        <f t="shared" si="15"/>
        <v>-2.3021812286689416</v>
      </c>
      <c r="I123" s="98">
        <f t="shared" si="15"/>
        <v>-2.5042555240793201</v>
      </c>
      <c r="J123" s="98">
        <f t="shared" si="15"/>
        <v>-1.717441646489104</v>
      </c>
      <c r="K123" s="98">
        <f t="shared" si="15"/>
        <v>-1.3680002114164906</v>
      </c>
      <c r="L123" s="98">
        <f t="shared" si="15"/>
        <v>-1.7442491525423727</v>
      </c>
      <c r="M123" s="98">
        <f t="shared" si="15"/>
        <v>-1.1974090056285178</v>
      </c>
      <c r="N123" s="98">
        <f t="shared" si="15"/>
        <v>-1.1623202360876896</v>
      </c>
      <c r="O123" s="98">
        <f t="shared" si="15"/>
        <v>-0.20805217391304343</v>
      </c>
      <c r="P123" s="98">
        <f t="shared" si="15"/>
        <v>-0.29138190743337994</v>
      </c>
      <c r="Q123" s="98">
        <f t="shared" si="15"/>
        <v>-1.490515649920255</v>
      </c>
      <c r="S123" s="108"/>
      <c r="T123" s="40" t="e">
        <f t="shared" si="14"/>
        <v>#DIV/0!</v>
      </c>
    </row>
    <row r="124" spans="1:20" ht="26.25" customHeight="1">
      <c r="A124" s="254"/>
      <c r="B124" s="51"/>
      <c r="D124" s="21" t="s">
        <v>761</v>
      </c>
      <c r="E124" s="67"/>
      <c r="F124" s="99"/>
      <c r="G124" s="67"/>
      <c r="H124" s="100"/>
      <c r="I124" s="67"/>
      <c r="J124" s="99"/>
      <c r="K124" s="67"/>
      <c r="L124" s="102"/>
      <c r="M124" s="67"/>
      <c r="N124" s="99"/>
      <c r="O124" s="103"/>
      <c r="P124" s="103"/>
      <c r="Q124" s="103"/>
      <c r="S124" s="35"/>
      <c r="T124" s="40"/>
    </row>
    <row r="125" spans="1:20" ht="26.25" customHeight="1">
      <c r="A125" s="254"/>
      <c r="B125" s="51"/>
      <c r="D125" s="21" t="s">
        <v>762</v>
      </c>
      <c r="E125" s="67"/>
      <c r="F125" s="99"/>
      <c r="G125" s="67"/>
      <c r="H125" s="100"/>
      <c r="I125" s="67"/>
      <c r="J125" s="99"/>
      <c r="K125" s="67"/>
      <c r="L125" s="102"/>
      <c r="M125" s="67"/>
      <c r="N125" s="99"/>
      <c r="O125" s="103"/>
      <c r="P125" s="103"/>
      <c r="Q125" s="103"/>
      <c r="S125" s="35"/>
      <c r="T125" s="40"/>
    </row>
    <row r="126" spans="1:20" ht="26.25" customHeight="1">
      <c r="A126" s="254" t="s">
        <v>297</v>
      </c>
      <c r="B126" s="51" t="s">
        <v>718</v>
      </c>
      <c r="D126" s="26" t="s">
        <v>763</v>
      </c>
      <c r="E126" s="90">
        <v>12000</v>
      </c>
      <c r="F126" s="90">
        <v>12000</v>
      </c>
      <c r="G126" s="90">
        <v>12000</v>
      </c>
      <c r="H126" s="90">
        <v>12000</v>
      </c>
      <c r="I126" s="90">
        <v>12000</v>
      </c>
      <c r="J126" s="90">
        <v>12000</v>
      </c>
      <c r="K126" s="90">
        <v>12000</v>
      </c>
      <c r="L126" s="90">
        <v>12000</v>
      </c>
      <c r="M126" s="90">
        <v>12000</v>
      </c>
      <c r="N126" s="90">
        <v>12000</v>
      </c>
      <c r="O126" s="90">
        <v>12000</v>
      </c>
      <c r="P126" s="90">
        <v>12000</v>
      </c>
      <c r="Q126" s="96">
        <f>SUM(E126:P126)</f>
        <v>144000</v>
      </c>
      <c r="R126" s="39">
        <f>Q126/$Q$28</f>
        <v>0.28708133971291866</v>
      </c>
      <c r="S126" s="35"/>
      <c r="T126" s="40" t="e">
        <f>-IF(Q126-S126=0,0,(Q126-S126)/S126)</f>
        <v>#DIV/0!</v>
      </c>
    </row>
    <row r="127" spans="1:20" ht="26.25" customHeight="1">
      <c r="A127" s="254" t="s">
        <v>300</v>
      </c>
      <c r="B127" s="51" t="s">
        <v>718</v>
      </c>
      <c r="D127" s="26" t="s">
        <v>764</v>
      </c>
      <c r="E127" s="101">
        <v>25700</v>
      </c>
      <c r="F127" s="101">
        <v>31100</v>
      </c>
      <c r="G127" s="101">
        <v>31100</v>
      </c>
      <c r="H127" s="101">
        <v>31100</v>
      </c>
      <c r="I127" s="101">
        <v>31100</v>
      </c>
      <c r="J127" s="101">
        <v>31100</v>
      </c>
      <c r="K127" s="101">
        <v>31100</v>
      </c>
      <c r="L127" s="101">
        <v>31100</v>
      </c>
      <c r="M127" s="101">
        <v>31100</v>
      </c>
      <c r="N127" s="101">
        <v>31100</v>
      </c>
      <c r="O127" s="101">
        <v>31100</v>
      </c>
      <c r="P127" s="101">
        <v>31100</v>
      </c>
      <c r="Q127" s="96">
        <f>SUM(E127:P127)</f>
        <v>367800</v>
      </c>
      <c r="R127" s="39">
        <f>Q127/$Q$28</f>
        <v>0.73325358851674638</v>
      </c>
      <c r="S127" s="35"/>
      <c r="T127" s="40" t="e">
        <f t="shared" ref="T127:T159" si="16">-IF(Q127-S127=0,0,(Q127-S127)/S127)</f>
        <v>#DIV/0!</v>
      </c>
    </row>
    <row r="128" spans="1:20" ht="26.25" customHeight="1">
      <c r="A128" s="254"/>
      <c r="B128" s="51"/>
      <c r="D128" s="21" t="s">
        <v>765</v>
      </c>
      <c r="E128" s="92">
        <f>SUM(E126:E127)</f>
        <v>37700</v>
      </c>
      <c r="F128" s="92">
        <f t="shared" ref="F128:Q128" si="17">SUM(F126:F127)</f>
        <v>43100</v>
      </c>
      <c r="G128" s="92">
        <f t="shared" si="17"/>
        <v>43100</v>
      </c>
      <c r="H128" s="92">
        <f t="shared" si="17"/>
        <v>43100</v>
      </c>
      <c r="I128" s="92">
        <f t="shared" si="17"/>
        <v>43100</v>
      </c>
      <c r="J128" s="92">
        <f t="shared" si="17"/>
        <v>43100</v>
      </c>
      <c r="K128" s="92">
        <f t="shared" si="17"/>
        <v>43100</v>
      </c>
      <c r="L128" s="92">
        <f t="shared" si="17"/>
        <v>43100</v>
      </c>
      <c r="M128" s="92">
        <f t="shared" si="17"/>
        <v>43100</v>
      </c>
      <c r="N128" s="92">
        <f t="shared" si="17"/>
        <v>43100</v>
      </c>
      <c r="O128" s="92">
        <f t="shared" si="17"/>
        <v>43100</v>
      </c>
      <c r="P128" s="92">
        <f t="shared" si="17"/>
        <v>43100</v>
      </c>
      <c r="Q128" s="92">
        <f t="shared" si="17"/>
        <v>511800</v>
      </c>
      <c r="R128" s="39">
        <f>Q128/$Q$28</f>
        <v>1.020334928229665</v>
      </c>
      <c r="S128" s="35"/>
      <c r="T128" s="40" t="e">
        <f t="shared" si="16"/>
        <v>#DIV/0!</v>
      </c>
    </row>
    <row r="129" spans="1:20" ht="26.25" customHeight="1">
      <c r="A129" s="254"/>
      <c r="B129" s="51"/>
      <c r="E129" s="67"/>
      <c r="F129" s="67"/>
      <c r="G129" s="67"/>
      <c r="H129" s="67"/>
      <c r="I129" s="67"/>
      <c r="J129" s="99"/>
      <c r="K129" s="67"/>
      <c r="L129" s="102"/>
      <c r="M129" s="67"/>
      <c r="N129" s="99"/>
      <c r="O129" s="103"/>
      <c r="P129" s="103"/>
      <c r="Q129" s="103"/>
      <c r="S129" s="35"/>
      <c r="T129" s="40"/>
    </row>
    <row r="130" spans="1:20" ht="26.25" customHeight="1">
      <c r="A130" s="254" t="s">
        <v>603</v>
      </c>
      <c r="B130" s="51" t="s">
        <v>718</v>
      </c>
      <c r="D130" s="26" t="s">
        <v>766</v>
      </c>
      <c r="E130" s="90">
        <v>7089.67</v>
      </c>
      <c r="F130" s="90">
        <v>0</v>
      </c>
      <c r="G130" s="90">
        <v>0</v>
      </c>
      <c r="H130" s="90">
        <v>2573.79</v>
      </c>
      <c r="I130" s="90">
        <v>4289.66</v>
      </c>
      <c r="J130" s="90">
        <v>0</v>
      </c>
      <c r="K130" s="90">
        <v>0</v>
      </c>
      <c r="L130" s="90">
        <v>0</v>
      </c>
      <c r="M130" s="90">
        <v>0</v>
      </c>
      <c r="N130" s="90">
        <v>8579.33</v>
      </c>
      <c r="O130" s="90">
        <v>0</v>
      </c>
      <c r="P130" s="90">
        <v>0</v>
      </c>
      <c r="Q130" s="96">
        <f>SUM(E130:P130)</f>
        <v>22532.449999999997</v>
      </c>
      <c r="R130" s="39">
        <f t="shared" ref="R130:R137" si="18">Q130/$Q$28</f>
        <v>4.4921152312599674E-2</v>
      </c>
      <c r="S130" s="35"/>
      <c r="T130" s="40" t="e">
        <f t="shared" si="16"/>
        <v>#DIV/0!</v>
      </c>
    </row>
    <row r="131" spans="1:20" ht="26.25" customHeight="1">
      <c r="A131" s="254" t="s">
        <v>310</v>
      </c>
      <c r="B131" s="51" t="s">
        <v>718</v>
      </c>
      <c r="D131" s="26" t="s">
        <v>767</v>
      </c>
      <c r="E131" s="90">
        <v>471.25</v>
      </c>
      <c r="F131" s="90">
        <v>538.75</v>
      </c>
      <c r="G131" s="90">
        <v>538.75</v>
      </c>
      <c r="H131" s="90">
        <v>538.75</v>
      </c>
      <c r="I131" s="90">
        <v>538.75</v>
      </c>
      <c r="J131" s="90">
        <v>538.75</v>
      </c>
      <c r="K131" s="90">
        <v>538.75</v>
      </c>
      <c r="L131" s="90">
        <v>538.75</v>
      </c>
      <c r="M131" s="90">
        <v>538.75</v>
      </c>
      <c r="N131" s="90">
        <v>538.75</v>
      </c>
      <c r="O131" s="90">
        <v>538.75</v>
      </c>
      <c r="P131" s="90">
        <v>538.75</v>
      </c>
      <c r="Q131" s="96">
        <f t="shared" ref="Q131:Q136" si="19">SUM(E131:P131)</f>
        <v>6397.5</v>
      </c>
      <c r="R131" s="39">
        <f t="shared" si="18"/>
        <v>1.2754186602870813E-2</v>
      </c>
      <c r="S131" s="35"/>
      <c r="T131" s="40" t="e">
        <f t="shared" si="16"/>
        <v>#DIV/0!</v>
      </c>
    </row>
    <row r="132" spans="1:20" ht="26.25" customHeight="1">
      <c r="A132" s="254" t="s">
        <v>604</v>
      </c>
      <c r="B132" s="51" t="s">
        <v>718</v>
      </c>
      <c r="D132" s="26" t="s">
        <v>768</v>
      </c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6"/>
      <c r="R132" s="39">
        <f t="shared" si="18"/>
        <v>0</v>
      </c>
      <c r="S132" s="35"/>
      <c r="T132" s="40">
        <f t="shared" si="16"/>
        <v>0</v>
      </c>
    </row>
    <row r="133" spans="1:20" ht="26.25" customHeight="1">
      <c r="A133" s="254" t="s">
        <v>605</v>
      </c>
      <c r="B133" s="51" t="s">
        <v>718</v>
      </c>
      <c r="D133" s="26" t="s">
        <v>769</v>
      </c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6"/>
      <c r="R133" s="39">
        <f t="shared" si="18"/>
        <v>0</v>
      </c>
      <c r="S133" s="35"/>
      <c r="T133" s="40">
        <f t="shared" si="16"/>
        <v>0</v>
      </c>
    </row>
    <row r="134" spans="1:20" ht="26.25" customHeight="1">
      <c r="A134" s="254" t="s">
        <v>606</v>
      </c>
      <c r="B134" s="51" t="s">
        <v>718</v>
      </c>
      <c r="D134" s="26" t="s">
        <v>770</v>
      </c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6"/>
      <c r="R134" s="39">
        <f t="shared" si="18"/>
        <v>0</v>
      </c>
      <c r="S134" s="35"/>
      <c r="T134" s="40">
        <f t="shared" si="16"/>
        <v>0</v>
      </c>
    </row>
    <row r="135" spans="1:20" ht="26.25" customHeight="1">
      <c r="A135" s="254" t="s">
        <v>1066</v>
      </c>
      <c r="B135" s="51" t="s">
        <v>687</v>
      </c>
      <c r="D135" s="26" t="s">
        <v>1136</v>
      </c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6"/>
      <c r="R135" s="39">
        <f t="shared" ref="R135:R136" si="20">IF($Q$14=0,0,Q135/$Q$14)</f>
        <v>0</v>
      </c>
      <c r="S135" s="35"/>
      <c r="T135" s="40">
        <f t="shared" si="16"/>
        <v>0</v>
      </c>
    </row>
    <row r="136" spans="1:20" ht="26.25" customHeight="1">
      <c r="A136" s="254" t="s">
        <v>1066</v>
      </c>
      <c r="B136" s="51" t="s">
        <v>687</v>
      </c>
      <c r="D136" s="26" t="s">
        <v>1206</v>
      </c>
      <c r="E136" s="101">
        <v>9808.4500000000007</v>
      </c>
      <c r="F136" s="101">
        <v>7602.29</v>
      </c>
      <c r="G136" s="101">
        <v>8409.56</v>
      </c>
      <c r="H136" s="101">
        <v>16281.17</v>
      </c>
      <c r="I136" s="101">
        <v>35762.269999999997</v>
      </c>
      <c r="J136" s="101">
        <v>33503.24</v>
      </c>
      <c r="K136" s="101">
        <v>33471.33</v>
      </c>
      <c r="L136" s="101">
        <v>33478.49</v>
      </c>
      <c r="M136" s="101">
        <v>33494.42</v>
      </c>
      <c r="N136" s="101">
        <v>39989.360000000001</v>
      </c>
      <c r="O136" s="101">
        <v>8368.7800000000007</v>
      </c>
      <c r="P136" s="101">
        <v>8365.619999999999</v>
      </c>
      <c r="Q136" s="96">
        <f t="shared" si="19"/>
        <v>268534.98</v>
      </c>
      <c r="R136" s="39">
        <f t="shared" si="20"/>
        <v>0</v>
      </c>
      <c r="S136" s="35"/>
      <c r="T136" s="40" t="e">
        <f t="shared" si="16"/>
        <v>#DIV/0!</v>
      </c>
    </row>
    <row r="137" spans="1:20" ht="26.25" customHeight="1">
      <c r="A137" s="254"/>
      <c r="B137" s="51"/>
      <c r="D137" s="21" t="s">
        <v>771</v>
      </c>
      <c r="E137" s="92">
        <f>SUM(E130:E136)</f>
        <v>17369.370000000003</v>
      </c>
      <c r="F137" s="92">
        <f t="shared" ref="F137:Q137" si="21">SUM(F130:F136)</f>
        <v>8141.04</v>
      </c>
      <c r="G137" s="92">
        <f t="shared" si="21"/>
        <v>8948.31</v>
      </c>
      <c r="H137" s="92">
        <f t="shared" si="21"/>
        <v>19393.71</v>
      </c>
      <c r="I137" s="92">
        <f t="shared" si="21"/>
        <v>40590.679999999993</v>
      </c>
      <c r="J137" s="92">
        <f t="shared" si="21"/>
        <v>34041.99</v>
      </c>
      <c r="K137" s="92">
        <f t="shared" si="21"/>
        <v>34010.080000000002</v>
      </c>
      <c r="L137" s="92">
        <f t="shared" si="21"/>
        <v>34017.24</v>
      </c>
      <c r="M137" s="92">
        <f t="shared" si="21"/>
        <v>34033.17</v>
      </c>
      <c r="N137" s="92">
        <f t="shared" si="21"/>
        <v>49107.44</v>
      </c>
      <c r="O137" s="92">
        <f t="shared" si="21"/>
        <v>8907.5300000000007</v>
      </c>
      <c r="P137" s="92">
        <f t="shared" si="21"/>
        <v>8904.369999999999</v>
      </c>
      <c r="Q137" s="92">
        <f t="shared" si="21"/>
        <v>297464.93</v>
      </c>
      <c r="R137" s="39">
        <f t="shared" si="18"/>
        <v>0.59303215709728863</v>
      </c>
      <c r="S137" s="35"/>
      <c r="T137" s="40" t="e">
        <f t="shared" si="16"/>
        <v>#DIV/0!</v>
      </c>
    </row>
    <row r="138" spans="1:20" ht="26.25" customHeight="1">
      <c r="A138" s="254"/>
      <c r="B138" s="51"/>
      <c r="E138" s="67"/>
      <c r="F138" s="67"/>
      <c r="G138" s="67"/>
      <c r="H138" s="67"/>
      <c r="I138" s="67"/>
      <c r="J138" s="99"/>
      <c r="K138" s="67"/>
      <c r="L138" s="102"/>
      <c r="M138" s="67"/>
      <c r="N138" s="99"/>
      <c r="O138" s="103"/>
      <c r="P138" s="103"/>
      <c r="Q138" s="103"/>
      <c r="S138" s="35"/>
      <c r="T138" s="40"/>
    </row>
    <row r="139" spans="1:20" ht="26.25" customHeight="1">
      <c r="A139" s="254" t="s">
        <v>609</v>
      </c>
      <c r="B139" s="51" t="s">
        <v>718</v>
      </c>
      <c r="D139" s="26" t="s">
        <v>772</v>
      </c>
      <c r="E139" s="90">
        <v>5337.5999999999995</v>
      </c>
      <c r="F139" s="90">
        <v>6147.6</v>
      </c>
      <c r="G139" s="90">
        <v>6147.6</v>
      </c>
      <c r="H139" s="90">
        <v>6147.6</v>
      </c>
      <c r="I139" s="90">
        <v>6147.6</v>
      </c>
      <c r="J139" s="90">
        <v>6147.6</v>
      </c>
      <c r="K139" s="90">
        <v>6147.6</v>
      </c>
      <c r="L139" s="90">
        <v>6147.6</v>
      </c>
      <c r="M139" s="90">
        <v>6147.6</v>
      </c>
      <c r="N139" s="90">
        <v>6147.6</v>
      </c>
      <c r="O139" s="90">
        <v>6147.6</v>
      </c>
      <c r="P139" s="90">
        <v>6147.6</v>
      </c>
      <c r="Q139" s="96">
        <f>SUM(E139:P139)</f>
        <v>72961.2</v>
      </c>
      <c r="R139" s="39">
        <f t="shared" ref="R139:R147" si="22">Q139/$Q$28</f>
        <v>0.14545693779904306</v>
      </c>
      <c r="S139" s="35"/>
      <c r="T139" s="40" t="e">
        <f t="shared" si="16"/>
        <v>#DIV/0!</v>
      </c>
    </row>
    <row r="140" spans="1:20" ht="26.25" customHeight="1">
      <c r="A140" s="254" t="s">
        <v>610</v>
      </c>
      <c r="B140" s="51" t="s">
        <v>718</v>
      </c>
      <c r="D140" s="26" t="s">
        <v>773</v>
      </c>
      <c r="E140" s="90">
        <v>2091.48</v>
      </c>
      <c r="F140" s="90">
        <v>2415.48</v>
      </c>
      <c r="G140" s="90">
        <v>2415.48</v>
      </c>
      <c r="H140" s="90">
        <v>2415.48</v>
      </c>
      <c r="I140" s="90">
        <v>2415.48</v>
      </c>
      <c r="J140" s="90">
        <v>2415.48</v>
      </c>
      <c r="K140" s="90">
        <v>2415.48</v>
      </c>
      <c r="L140" s="90">
        <v>2415.48</v>
      </c>
      <c r="M140" s="90">
        <v>2415.48</v>
      </c>
      <c r="N140" s="90">
        <v>2415.48</v>
      </c>
      <c r="O140" s="90">
        <v>2415.48</v>
      </c>
      <c r="P140" s="90">
        <v>2415.48</v>
      </c>
      <c r="Q140" s="96">
        <f t="shared" ref="Q140:Q146" si="23">SUM(E140:P140)</f>
        <v>28661.759999999998</v>
      </c>
      <c r="R140" s="39">
        <f t="shared" si="22"/>
        <v>5.7140669856459325E-2</v>
      </c>
      <c r="S140" s="35"/>
      <c r="T140" s="40" t="e">
        <f t="shared" si="16"/>
        <v>#DIV/0!</v>
      </c>
    </row>
    <row r="141" spans="1:20" ht="26.25" customHeight="1">
      <c r="A141" s="254" t="s">
        <v>611</v>
      </c>
      <c r="B141" s="51" t="s">
        <v>718</v>
      </c>
      <c r="D141" s="26" t="s">
        <v>774</v>
      </c>
      <c r="E141" s="90">
        <v>277.60000000000002</v>
      </c>
      <c r="F141" s="90">
        <v>320.8</v>
      </c>
      <c r="G141" s="90">
        <v>320.8</v>
      </c>
      <c r="H141" s="90">
        <v>320.8</v>
      </c>
      <c r="I141" s="90">
        <v>320.8</v>
      </c>
      <c r="J141" s="90">
        <v>320.8</v>
      </c>
      <c r="K141" s="90">
        <v>320.8</v>
      </c>
      <c r="L141" s="90">
        <v>320.8</v>
      </c>
      <c r="M141" s="90">
        <v>320.8</v>
      </c>
      <c r="N141" s="90">
        <v>320.8</v>
      </c>
      <c r="O141" s="90">
        <v>320.8</v>
      </c>
      <c r="P141" s="90">
        <v>320.8</v>
      </c>
      <c r="Q141" s="96">
        <f t="shared" si="23"/>
        <v>3806.400000000001</v>
      </c>
      <c r="R141" s="39">
        <f t="shared" si="22"/>
        <v>7.5885167464114856E-3</v>
      </c>
      <c r="S141" s="35"/>
      <c r="T141" s="40" t="e">
        <f t="shared" si="16"/>
        <v>#DIV/0!</v>
      </c>
    </row>
    <row r="142" spans="1:20" ht="26.25" customHeight="1">
      <c r="A142" s="254" t="s">
        <v>612</v>
      </c>
      <c r="B142" s="51" t="s">
        <v>718</v>
      </c>
      <c r="D142" s="26" t="s">
        <v>775</v>
      </c>
      <c r="E142" s="90">
        <v>138.80000000000001</v>
      </c>
      <c r="F142" s="90">
        <v>160.4</v>
      </c>
      <c r="G142" s="90">
        <v>160.4</v>
      </c>
      <c r="H142" s="90">
        <v>160.4</v>
      </c>
      <c r="I142" s="90">
        <v>160.4</v>
      </c>
      <c r="J142" s="90">
        <v>160.4</v>
      </c>
      <c r="K142" s="90">
        <v>160.4</v>
      </c>
      <c r="L142" s="90">
        <v>160.4</v>
      </c>
      <c r="M142" s="90">
        <v>160.4</v>
      </c>
      <c r="N142" s="90">
        <v>160.4</v>
      </c>
      <c r="O142" s="90">
        <v>160.4</v>
      </c>
      <c r="P142" s="90">
        <v>160.4</v>
      </c>
      <c r="Q142" s="96">
        <f t="shared" si="23"/>
        <v>1903.2000000000005</v>
      </c>
      <c r="R142" s="39">
        <f t="shared" si="22"/>
        <v>3.7942583732057428E-3</v>
      </c>
      <c r="S142" s="35"/>
      <c r="T142" s="40" t="e">
        <f t="shared" si="16"/>
        <v>#DIV/0!</v>
      </c>
    </row>
    <row r="143" spans="1:20" ht="26.25" customHeight="1">
      <c r="A143" s="254" t="s">
        <v>613</v>
      </c>
      <c r="B143" s="51" t="s">
        <v>718</v>
      </c>
      <c r="D143" s="26" t="s">
        <v>776</v>
      </c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6">
        <f t="shared" si="23"/>
        <v>0</v>
      </c>
      <c r="R143" s="39">
        <f t="shared" si="22"/>
        <v>0</v>
      </c>
      <c r="S143" s="35"/>
      <c r="T143" s="40">
        <f t="shared" si="16"/>
        <v>0</v>
      </c>
    </row>
    <row r="144" spans="1:20" ht="26.25" customHeight="1">
      <c r="A144" s="254" t="s">
        <v>614</v>
      </c>
      <c r="B144" s="51" t="s">
        <v>718</v>
      </c>
      <c r="D144" s="26" t="s">
        <v>777</v>
      </c>
      <c r="E144" s="90">
        <v>2776</v>
      </c>
      <c r="F144" s="90">
        <v>3208</v>
      </c>
      <c r="G144" s="90">
        <v>3208</v>
      </c>
      <c r="H144" s="90">
        <v>3208</v>
      </c>
      <c r="I144" s="90">
        <v>3208</v>
      </c>
      <c r="J144" s="90">
        <v>3208</v>
      </c>
      <c r="K144" s="90">
        <v>3208</v>
      </c>
      <c r="L144" s="90">
        <v>3208</v>
      </c>
      <c r="M144" s="90">
        <v>3208</v>
      </c>
      <c r="N144" s="90">
        <v>3208</v>
      </c>
      <c r="O144" s="90">
        <v>3208</v>
      </c>
      <c r="P144" s="90">
        <v>3208</v>
      </c>
      <c r="Q144" s="96">
        <f t="shared" si="23"/>
        <v>38064</v>
      </c>
      <c r="R144" s="39">
        <f t="shared" si="22"/>
        <v>7.5885167464114833E-2</v>
      </c>
      <c r="S144" s="35"/>
      <c r="T144" s="40" t="e">
        <f t="shared" si="16"/>
        <v>#DIV/0!</v>
      </c>
    </row>
    <row r="145" spans="1:20" ht="26.25" customHeight="1">
      <c r="A145" s="254" t="s">
        <v>615</v>
      </c>
      <c r="B145" s="51" t="s">
        <v>718</v>
      </c>
      <c r="D145" s="26" t="s">
        <v>778</v>
      </c>
      <c r="E145" s="90">
        <v>754</v>
      </c>
      <c r="F145" s="90">
        <v>862</v>
      </c>
      <c r="G145" s="90">
        <v>862</v>
      </c>
      <c r="H145" s="90">
        <v>862</v>
      </c>
      <c r="I145" s="90">
        <v>862</v>
      </c>
      <c r="J145" s="90">
        <v>862</v>
      </c>
      <c r="K145" s="90">
        <v>862</v>
      </c>
      <c r="L145" s="90">
        <v>862</v>
      </c>
      <c r="M145" s="90">
        <v>862</v>
      </c>
      <c r="N145" s="90">
        <v>862</v>
      </c>
      <c r="O145" s="90">
        <v>862</v>
      </c>
      <c r="P145" s="90">
        <v>862</v>
      </c>
      <c r="Q145" s="96">
        <f t="shared" si="23"/>
        <v>10236</v>
      </c>
      <c r="R145" s="39">
        <f t="shared" si="22"/>
        <v>2.04066985645933E-2</v>
      </c>
      <c r="S145" s="35"/>
      <c r="T145" s="40" t="e">
        <f t="shared" si="16"/>
        <v>#DIV/0!</v>
      </c>
    </row>
    <row r="146" spans="1:20" ht="26.25" customHeight="1">
      <c r="A146" s="254" t="s">
        <v>616</v>
      </c>
      <c r="B146" s="51" t="s">
        <v>718</v>
      </c>
      <c r="D146" s="26" t="s">
        <v>779</v>
      </c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96">
        <f t="shared" si="23"/>
        <v>0</v>
      </c>
      <c r="R146" s="39">
        <f t="shared" si="22"/>
        <v>0</v>
      </c>
      <c r="S146" s="35"/>
      <c r="T146" s="40">
        <f t="shared" si="16"/>
        <v>0</v>
      </c>
    </row>
    <row r="147" spans="1:20" ht="26.25" customHeight="1">
      <c r="A147" s="254"/>
      <c r="B147" s="51"/>
      <c r="D147" s="21" t="s">
        <v>780</v>
      </c>
      <c r="E147" s="92">
        <f>SUM(E139:E146)</f>
        <v>11375.48</v>
      </c>
      <c r="F147" s="92">
        <f t="shared" ref="F147:P147" si="24">SUM(F139:F146)</f>
        <v>13114.279999999999</v>
      </c>
      <c r="G147" s="92">
        <f t="shared" si="24"/>
        <v>13114.279999999999</v>
      </c>
      <c r="H147" s="92">
        <f t="shared" si="24"/>
        <v>13114.279999999999</v>
      </c>
      <c r="I147" s="92">
        <f t="shared" si="24"/>
        <v>13114.279999999999</v>
      </c>
      <c r="J147" s="92">
        <f t="shared" si="24"/>
        <v>13114.279999999999</v>
      </c>
      <c r="K147" s="92">
        <f t="shared" si="24"/>
        <v>13114.279999999999</v>
      </c>
      <c r="L147" s="92">
        <f t="shared" si="24"/>
        <v>13114.279999999999</v>
      </c>
      <c r="M147" s="92">
        <f t="shared" si="24"/>
        <v>13114.279999999999</v>
      </c>
      <c r="N147" s="92">
        <f t="shared" si="24"/>
        <v>13114.279999999999</v>
      </c>
      <c r="O147" s="92">
        <f t="shared" si="24"/>
        <v>13114.279999999999</v>
      </c>
      <c r="P147" s="92">
        <f t="shared" si="24"/>
        <v>13114.279999999999</v>
      </c>
      <c r="Q147" s="92">
        <f t="shared" ref="Q147" si="25">SUM(Q139:Q146)</f>
        <v>155632.56</v>
      </c>
      <c r="R147" s="39">
        <f t="shared" si="22"/>
        <v>0.31027224880382775</v>
      </c>
      <c r="S147" s="35"/>
      <c r="T147" s="40" t="e">
        <f t="shared" si="16"/>
        <v>#DIV/0!</v>
      </c>
    </row>
    <row r="148" spans="1:20" ht="26.25" customHeight="1">
      <c r="A148" s="254"/>
      <c r="B148" s="51"/>
      <c r="E148" s="67"/>
      <c r="F148" s="67"/>
      <c r="G148" s="67"/>
      <c r="H148" s="67"/>
      <c r="I148" s="67"/>
      <c r="J148" s="99"/>
      <c r="K148" s="67"/>
      <c r="L148" s="102"/>
      <c r="M148" s="67"/>
      <c r="N148" s="99"/>
      <c r="O148" s="103"/>
      <c r="P148" s="103"/>
      <c r="Q148" s="103"/>
      <c r="S148" s="35"/>
      <c r="T148" s="40"/>
    </row>
    <row r="149" spans="1:20" ht="26.25" customHeight="1">
      <c r="A149" s="254" t="s">
        <v>617</v>
      </c>
      <c r="B149" s="51" t="s">
        <v>718</v>
      </c>
      <c r="D149" s="26" t="s">
        <v>781</v>
      </c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6">
        <f>SUM(E149:P149)</f>
        <v>0</v>
      </c>
      <c r="S149" s="35"/>
      <c r="T149" s="40">
        <f t="shared" si="16"/>
        <v>0</v>
      </c>
    </row>
    <row r="150" spans="1:20" ht="26.25" customHeight="1">
      <c r="A150" s="254" t="s">
        <v>618</v>
      </c>
      <c r="B150" s="51" t="s">
        <v>718</v>
      </c>
      <c r="D150" s="26" t="s">
        <v>782</v>
      </c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6">
        <f t="shared" ref="Q150:Q155" si="26">SUM(E150:P150)</f>
        <v>0</v>
      </c>
      <c r="S150" s="35"/>
      <c r="T150" s="40">
        <f t="shared" si="16"/>
        <v>0</v>
      </c>
    </row>
    <row r="151" spans="1:20" ht="26.25" customHeight="1">
      <c r="A151" s="254" t="s">
        <v>619</v>
      </c>
      <c r="B151" s="51" t="s">
        <v>718</v>
      </c>
      <c r="D151" s="26" t="s">
        <v>783</v>
      </c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6">
        <f t="shared" si="26"/>
        <v>0</v>
      </c>
      <c r="S151" s="35"/>
      <c r="T151" s="40">
        <f t="shared" si="16"/>
        <v>0</v>
      </c>
    </row>
    <row r="152" spans="1:20" ht="26.25" customHeight="1">
      <c r="A152" s="254" t="s">
        <v>620</v>
      </c>
      <c r="B152" s="51" t="s">
        <v>718</v>
      </c>
      <c r="D152" s="26" t="s">
        <v>784</v>
      </c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6">
        <f t="shared" si="26"/>
        <v>0</v>
      </c>
      <c r="S152" s="35"/>
      <c r="T152" s="40">
        <f t="shared" si="16"/>
        <v>0</v>
      </c>
    </row>
    <row r="153" spans="1:20" ht="26.25" customHeight="1">
      <c r="A153" s="254" t="s">
        <v>621</v>
      </c>
      <c r="B153" s="51" t="s">
        <v>718</v>
      </c>
      <c r="D153" s="26" t="s">
        <v>785</v>
      </c>
      <c r="E153" s="90">
        <v>420</v>
      </c>
      <c r="F153" s="90">
        <v>640</v>
      </c>
      <c r="G153" s="90">
        <v>480</v>
      </c>
      <c r="H153" s="90">
        <v>480</v>
      </c>
      <c r="I153" s="90">
        <v>480</v>
      </c>
      <c r="J153" s="90">
        <v>480</v>
      </c>
      <c r="K153" s="90">
        <v>480</v>
      </c>
      <c r="L153" s="90">
        <v>480</v>
      </c>
      <c r="M153" s="90">
        <v>480</v>
      </c>
      <c r="N153" s="90">
        <v>480</v>
      </c>
      <c r="O153" s="90">
        <v>480</v>
      </c>
      <c r="P153" s="90">
        <v>480</v>
      </c>
      <c r="Q153" s="96">
        <f t="shared" si="26"/>
        <v>5860</v>
      </c>
      <c r="R153" s="39">
        <f>Q153/$Q$28</f>
        <v>1.1682615629984051E-2</v>
      </c>
      <c r="S153" s="35"/>
      <c r="T153" s="40" t="e">
        <f t="shared" si="16"/>
        <v>#DIV/0!</v>
      </c>
    </row>
    <row r="154" spans="1:20" ht="26.25" customHeight="1">
      <c r="A154" s="254" t="s">
        <v>346</v>
      </c>
      <c r="B154" s="51" t="s">
        <v>718</v>
      </c>
      <c r="D154" s="26" t="s">
        <v>786</v>
      </c>
      <c r="E154" s="90">
        <v>2490.11</v>
      </c>
      <c r="F154" s="90">
        <v>2834.64</v>
      </c>
      <c r="G154" s="90">
        <v>2823.52</v>
      </c>
      <c r="H154" s="90">
        <v>2812.48</v>
      </c>
      <c r="I154" s="90">
        <v>2737.68</v>
      </c>
      <c r="J154" s="90">
        <v>2696.64</v>
      </c>
      <c r="K154" s="90">
        <v>2647.0400000000004</v>
      </c>
      <c r="L154" s="90">
        <v>2647.0400000000004</v>
      </c>
      <c r="M154" s="90">
        <v>2627.76</v>
      </c>
      <c r="N154" s="90">
        <v>2608.7199999999998</v>
      </c>
      <c r="O154" s="90">
        <v>2599.2800000000002</v>
      </c>
      <c r="P154" s="90">
        <v>2589.92</v>
      </c>
      <c r="Q154" s="96">
        <f t="shared" si="26"/>
        <v>32114.83</v>
      </c>
      <c r="R154" s="39">
        <f>Q154/$Q$28</f>
        <v>6.4024780701754394E-2</v>
      </c>
      <c r="S154" s="35"/>
      <c r="T154" s="40"/>
    </row>
    <row r="155" spans="1:20" ht="26.25" customHeight="1">
      <c r="A155" s="254" t="s">
        <v>624</v>
      </c>
      <c r="B155" s="51" t="s">
        <v>718</v>
      </c>
      <c r="D155" s="26" t="s">
        <v>787</v>
      </c>
      <c r="E155" s="90">
        <v>7372.75</v>
      </c>
      <c r="F155" s="90">
        <v>8287.1200000000008</v>
      </c>
      <c r="G155" s="90">
        <v>8178.88</v>
      </c>
      <c r="H155" s="90">
        <v>8215.8399999999983</v>
      </c>
      <c r="I155" s="90">
        <v>8049.3600000000006</v>
      </c>
      <c r="J155" s="90">
        <v>7908.880000000001</v>
      </c>
      <c r="K155" s="90">
        <v>7845.0399999999972</v>
      </c>
      <c r="L155" s="90">
        <v>7859.3599999999988</v>
      </c>
      <c r="M155" s="90">
        <v>7891.199999999998</v>
      </c>
      <c r="N155" s="90">
        <v>7949.6799999999976</v>
      </c>
      <c r="O155" s="90">
        <v>7852.6400000000012</v>
      </c>
      <c r="P155" s="90">
        <v>7827.3599999999988</v>
      </c>
      <c r="Q155" s="96">
        <f t="shared" si="26"/>
        <v>95238.109999999986</v>
      </c>
      <c r="R155" s="39">
        <f>Q155/$Q$28</f>
        <v>0.18986864035087717</v>
      </c>
      <c r="S155" s="35"/>
      <c r="T155" s="40" t="e">
        <f t="shared" si="16"/>
        <v>#DIV/0!</v>
      </c>
    </row>
    <row r="156" spans="1:20" s="81" customFormat="1" ht="26.25" customHeight="1">
      <c r="A156" s="254"/>
      <c r="B156" s="51"/>
      <c r="D156" s="21" t="s">
        <v>788</v>
      </c>
      <c r="E156" s="105">
        <f>SUM(E149:E155)</f>
        <v>10282.86</v>
      </c>
      <c r="F156" s="105">
        <f t="shared" ref="F156:Q156" si="27">SUM(F149:F155)</f>
        <v>11761.76</v>
      </c>
      <c r="G156" s="105">
        <f t="shared" si="27"/>
        <v>11482.4</v>
      </c>
      <c r="H156" s="105">
        <f t="shared" si="27"/>
        <v>11508.319999999998</v>
      </c>
      <c r="I156" s="105">
        <f t="shared" si="27"/>
        <v>11267.04</v>
      </c>
      <c r="J156" s="105">
        <f t="shared" si="27"/>
        <v>11085.52</v>
      </c>
      <c r="K156" s="105">
        <f t="shared" si="27"/>
        <v>10972.079999999998</v>
      </c>
      <c r="L156" s="105">
        <f t="shared" si="27"/>
        <v>10986.4</v>
      </c>
      <c r="M156" s="105">
        <f t="shared" si="27"/>
        <v>10998.96</v>
      </c>
      <c r="N156" s="105">
        <f t="shared" si="27"/>
        <v>11038.399999999998</v>
      </c>
      <c r="O156" s="105">
        <f t="shared" si="27"/>
        <v>10931.920000000002</v>
      </c>
      <c r="P156" s="105">
        <f t="shared" si="27"/>
        <v>10897.279999999999</v>
      </c>
      <c r="Q156" s="105">
        <f t="shared" si="27"/>
        <v>133212.94</v>
      </c>
      <c r="R156" s="39">
        <f>Q156/$Q$28</f>
        <v>0.26557603668261565</v>
      </c>
      <c r="S156" s="35"/>
      <c r="T156" s="40" t="e">
        <f t="shared" si="16"/>
        <v>#DIV/0!</v>
      </c>
    </row>
    <row r="157" spans="1:20" ht="26.25" customHeight="1">
      <c r="A157" s="254"/>
      <c r="B157" s="51"/>
      <c r="D157" s="21" t="s">
        <v>789</v>
      </c>
      <c r="E157" s="92">
        <f>E128+E137+E147+E156</f>
        <v>76727.710000000006</v>
      </c>
      <c r="F157" s="92">
        <f t="shared" ref="F157:Q157" si="28">F128+F137+F147+F156</f>
        <v>76117.08</v>
      </c>
      <c r="G157" s="92">
        <f t="shared" si="28"/>
        <v>76644.989999999991</v>
      </c>
      <c r="H157" s="92">
        <f t="shared" si="28"/>
        <v>87116.309999999983</v>
      </c>
      <c r="I157" s="92">
        <f t="shared" si="28"/>
        <v>108072</v>
      </c>
      <c r="J157" s="92">
        <f t="shared" si="28"/>
        <v>101341.79</v>
      </c>
      <c r="K157" s="92">
        <f t="shared" si="28"/>
        <v>101196.44</v>
      </c>
      <c r="L157" s="92">
        <f t="shared" si="28"/>
        <v>101217.91999999998</v>
      </c>
      <c r="M157" s="92">
        <f t="shared" si="28"/>
        <v>101246.41</v>
      </c>
      <c r="N157" s="92">
        <f t="shared" si="28"/>
        <v>116360.12</v>
      </c>
      <c r="O157" s="92">
        <f t="shared" si="28"/>
        <v>76053.73</v>
      </c>
      <c r="P157" s="92">
        <f t="shared" si="28"/>
        <v>76015.929999999993</v>
      </c>
      <c r="Q157" s="92">
        <f t="shared" si="28"/>
        <v>1098110.43</v>
      </c>
      <c r="R157" s="39">
        <f>Q157/$Q$28</f>
        <v>2.1892153708133968</v>
      </c>
      <c r="S157" s="35"/>
      <c r="T157" s="40" t="e">
        <f t="shared" si="16"/>
        <v>#DIV/0!</v>
      </c>
    </row>
    <row r="158" spans="1:20" ht="26.25" customHeight="1">
      <c r="A158" s="254"/>
      <c r="B158" s="51"/>
      <c r="D158" s="21"/>
      <c r="E158" s="67"/>
      <c r="F158" s="67"/>
      <c r="G158" s="67"/>
      <c r="H158" s="67"/>
      <c r="I158" s="67"/>
      <c r="J158" s="99"/>
      <c r="K158" s="67"/>
      <c r="L158" s="102"/>
      <c r="M158" s="67"/>
      <c r="N158" s="99"/>
      <c r="O158" s="103"/>
      <c r="P158" s="103"/>
      <c r="Q158" s="103"/>
      <c r="S158" s="35"/>
      <c r="T158" s="40"/>
    </row>
    <row r="159" spans="1:20" ht="26.25" customHeight="1">
      <c r="A159" s="254" t="s">
        <v>108</v>
      </c>
      <c r="B159" s="51" t="s">
        <v>718</v>
      </c>
      <c r="D159" s="21" t="s">
        <v>790</v>
      </c>
      <c r="E159" s="92">
        <v>8</v>
      </c>
      <c r="F159" s="92">
        <v>9</v>
      </c>
      <c r="G159" s="92">
        <v>9</v>
      </c>
      <c r="H159" s="92">
        <v>10</v>
      </c>
      <c r="I159" s="92">
        <v>12</v>
      </c>
      <c r="J159" s="92">
        <v>12</v>
      </c>
      <c r="K159" s="92">
        <v>12</v>
      </c>
      <c r="L159" s="92">
        <v>12</v>
      </c>
      <c r="M159" s="92">
        <v>12</v>
      </c>
      <c r="N159" s="92">
        <v>13</v>
      </c>
      <c r="O159" s="92">
        <v>9</v>
      </c>
      <c r="P159" s="92">
        <v>9</v>
      </c>
      <c r="Q159" s="78">
        <f>SUM(E159:P159)/12</f>
        <v>10.583333333333334</v>
      </c>
      <c r="S159" s="35"/>
      <c r="T159" s="40" t="e">
        <f t="shared" si="16"/>
        <v>#DIV/0!</v>
      </c>
    </row>
    <row r="160" spans="1:20" ht="26.25" customHeight="1">
      <c r="A160" s="254"/>
      <c r="B160" s="51"/>
    </row>
    <row r="161" spans="1:2" ht="26.25" customHeight="1">
      <c r="A161" s="254"/>
      <c r="B161" s="51"/>
    </row>
    <row r="162" spans="1:2" ht="26.25" customHeight="1">
      <c r="A162" s="254"/>
    </row>
    <row r="163" spans="1:2" ht="26.25" customHeight="1">
      <c r="A163" s="254"/>
    </row>
  </sheetData>
  <phoneticPr fontId="56" type="noConversion"/>
  <dataValidations count="34">
    <dataValidation type="textLength" errorStyle="information" allowBlank="1" showInputMessage="1" showErrorMessage="1" error="XLBVal:6=627.78_x000d__x000a_" sqref="E77:P77">
      <formula1>0</formula1>
      <formula2>300</formula2>
    </dataValidation>
    <dataValidation type="textLength" errorStyle="information" allowBlank="1" showInputMessage="1" showErrorMessage="1" error="XLBVal:6=3239.86_x000d__x000a_" sqref="E50:P51 E47:P48">
      <formula1>0</formula1>
      <formula2>300</formula2>
    </dataValidation>
    <dataValidation type="textLength" errorStyle="information" allowBlank="1" showInputMessage="1" showErrorMessage="1" error="XLBVal:6=-6105.83_x000d__x000a_" sqref="J122">
      <formula1>0</formula1>
      <formula2>300</formula2>
    </dataValidation>
    <dataValidation type="textLength" errorStyle="information" allowBlank="1" showInputMessage="1" showErrorMessage="1" error="XLBVal:6=2187.72_x000d__x000a_" sqref="E67:P67">
      <formula1>0</formula1>
      <formula2>300</formula2>
    </dataValidation>
    <dataValidation type="textLength" errorStyle="information" allowBlank="1" showInputMessage="1" showErrorMessage="1" error="XLBVal:6=2477.89_x000d__x000a_" sqref="L122">
      <formula1>0</formula1>
      <formula2>300</formula2>
    </dataValidation>
    <dataValidation type="textLength" errorStyle="information" allowBlank="1" showInputMessage="1" showErrorMessage="1" error="XLBVal:6=42914.7_x000d__x000a_" sqref="E12:P12 W12:AH12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35800_x000d__x000a_" sqref="E127:P127">
      <formula1>0</formula1>
      <formula2>300</formula2>
    </dataValidation>
    <dataValidation type="textLength" errorStyle="information" allowBlank="1" showInputMessage="1" showErrorMessage="1" error="XLBVal:6=28280_x000d__x000a_" sqref="Q30">
      <formula1>0</formula1>
      <formula2>300</formula2>
    </dataValidation>
    <dataValidation type="textLength" errorStyle="information" allowBlank="1" showInputMessage="1" showErrorMessage="1" error="XLBVal:6=261.7_x000d__x000a_" sqref="E57:P57">
      <formula1>0</formula1>
      <formula2>300</formula2>
    </dataValidation>
    <dataValidation type="textLength" errorStyle="information" allowBlank="1" showInputMessage="1" showErrorMessage="1" error="XLBVal:6=1690.43_x000d__x000a_" sqref="E41:P41">
      <formula1>0</formula1>
      <formula2>300</formula2>
    </dataValidation>
    <dataValidation type="textLength" errorStyle="information" allowBlank="1" showInputMessage="1" showErrorMessage="1" error="XLBVal:6=37688.18_x000d__x000a_" sqref="E49:P49">
      <formula1>0</formula1>
      <formula2>300</formula2>
    </dataValidation>
    <dataValidation type="textLength" errorStyle="information" allowBlank="1" showInputMessage="1" showErrorMessage="1" error="XLBVal:6=5353.73_x000d__x000a_" sqref="E108:P108">
      <formula1>0</formula1>
      <formula2>300</formula2>
    </dataValidation>
    <dataValidation type="textLength" errorStyle="information" allowBlank="1" showInputMessage="1" showErrorMessage="1" error="XLBVal:6=1000_x000d__x000a_" sqref="E130:P135 E139:P143">
      <formula1>0</formula1>
      <formula2>300</formula2>
    </dataValidation>
    <dataValidation type="textLength" errorStyle="information" allowBlank="1" showInputMessage="1" showErrorMessage="1" error="XLBVal:2=0_x000d__x000a_" sqref="E13:P27 E120:P120 E78:P107 Q12:Q27 Q31:Q120 Q126:Q127 Q130:Q136 Q139:Q147 Q149:Q155 E145:P147 E126:P126 E30:P40 E42:P46 E109:P109 E52:P56 E111:P118 E58:P66 E68:P76 E149:P152">
      <formula1>0</formula1>
      <formula2>300</formula2>
    </dataValidation>
    <dataValidation type="textLength" errorStyle="information" allowBlank="1" showInputMessage="1" showErrorMessage="1" error="XLBVal:6=9941.2_x000d__x000a_" sqref="E153:P155">
      <formula1>0</formula1>
      <formula2>300</formula2>
    </dataValidation>
    <dataValidation type="textLength" errorStyle="information" allowBlank="1" showInputMessage="1" showErrorMessage="1" error="XLBVal:6=75743.52_x000d__x000a_" sqref="N122">
      <formula1>0</formula1>
      <formula2>300</formula2>
    </dataValidation>
    <dataValidation type="textLength" errorStyle="information" allowBlank="1" showInputMessage="1" showErrorMessage="1" error="XLBVal:6=59_x000d__x000a_" sqref="E110:P110">
      <formula1>0</formula1>
      <formula2>300</formula2>
    </dataValidation>
    <dataValidation type="textLength" errorStyle="information" allowBlank="1" showInputMessage="1" showErrorMessage="1" error="XLBVal:6=112_x000d__x000a_" sqref="E119:P119">
      <formula1>0</formula1>
      <formula2>300</formula2>
    </dataValidation>
    <dataValidation type="textLength" errorStyle="information" allowBlank="1" showInputMessage="1" showErrorMessage="1" error="XLBVal:6=1260_x000d__x000a_" sqref="Q159">
      <formula1>0</formula1>
      <formula2>300</formula2>
    </dataValidation>
    <dataValidation type="textLength" errorStyle="information" allowBlank="1" showInputMessage="1" showErrorMessage="1" error="XLBVal:6=1253.55_x000d__x000a_" sqref="E122">
      <formula1>0</formula1>
      <formula2>300</formula2>
    </dataValidation>
    <dataValidation type="textLength" errorStyle="information" allowBlank="1" showInputMessage="1" showErrorMessage="1" error="XLBVal:6=4497.41_x000d__x000a_" sqref="F122">
      <formula1>0</formula1>
      <formula2>300</formula2>
    </dataValidation>
    <dataValidation type="textLength" errorStyle="information" allowBlank="1" showInputMessage="1" showErrorMessage="1" error="XLBVal:6=-38867.52_x000d__x000a_" sqref="G122">
      <formula1>0</formula1>
      <formula2>300</formula2>
    </dataValidation>
    <dataValidation type="textLength" errorStyle="information" allowBlank="1" showInputMessage="1" showErrorMessage="1" error="XLBVal:6=-42235.27_x000d__x000a_" sqref="H122">
      <formula1>0</formula1>
      <formula2>300</formula2>
    </dataValidation>
    <dataValidation type="textLength" errorStyle="information" allowBlank="1" showInputMessage="1" showErrorMessage="1" error="XLBVal:6=15040.3_x000d__x000a_" sqref="I122">
      <formula1>0</formula1>
      <formula2>300</formula2>
    </dataValidation>
    <dataValidation type="textLength" errorStyle="information" allowBlank="1" showInputMessage="1" showErrorMessage="1" error="XLBVal:6=59776.39_x000d__x000a_" sqref="M122">
      <formula1>0</formula1>
      <formula2>300</formula2>
    </dataValidation>
    <dataValidation type="textLength" errorStyle="information" allowBlank="1" showInputMessage="1" showErrorMessage="1" error="XLBVal:6=-17195.55_x000d__x000a_" sqref="K122">
      <formula1>0</formula1>
      <formula2>300</formula2>
    </dataValidation>
    <dataValidation type="textLength" errorStyle="information" allowBlank="1" showInputMessage="1" showErrorMessage="1" error="XLBVal:6=63928.3_x000d__x000a_" sqref="O122">
      <formula1>0</formula1>
      <formula2>300</formula2>
    </dataValidation>
    <dataValidation type="textLength" errorStyle="information" allowBlank="1" showInputMessage="1" showErrorMessage="1" error="XLBVal:6=5096_x000d__x000a_" sqref="E144:P144">
      <formula1>0</formula1>
      <formula2>300</formula2>
    </dataValidation>
    <dataValidation type="textLength" errorStyle="information" allowBlank="1" showInputMessage="1" showErrorMessage="1" error="XLBVal:6=69152.88_x000d__x000a_" sqref="P122">
      <formula1>0</formula1>
      <formula2>300</formula2>
    </dataValidation>
    <dataValidation type="textLength" errorStyle="information" allowBlank="1" showInputMessage="1" showErrorMessage="1" error="XLBVal:6=466439.14_x000d__x000a_" sqref="Q122">
      <formula1>0</formula1>
      <formula2>300</formula2>
    </dataValidation>
    <dataValidation type="textLength" errorStyle="information" allowBlank="1" showInputMessage="1" showErrorMessage="1" error="XLBVal:6=6_x000d__x000a_" sqref="E159:P159">
      <formula1>0</formula1>
      <formula2>300</formula2>
    </dataValidation>
    <dataValidation type="textLength" errorStyle="information" allowBlank="1" showInputMessage="1" showErrorMessage="1" error="XLBVal:6=6688509.16_x000d__x000a_" sqref="E28:Q29">
      <formula1>0</formula1>
      <formula2>300</formula2>
    </dataValidation>
    <dataValidation type="textLength" errorStyle="information" allowBlank="1" showInputMessage="1" showErrorMessage="1" error="XLBVal:6=800_x000d__x000a_" sqref="E136:P136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T140"/>
  <sheetViews>
    <sheetView zoomScale="50" zoomScaleNormal="50" zoomScaleSheetLayoutView="40" workbookViewId="0">
      <pane xSplit="4" ySplit="10" topLeftCell="E11" activePane="bottomRight" state="frozen"/>
      <selection activeCell="Z105" sqref="Z105"/>
      <selection pane="topRight" activeCell="Z105" sqref="Z105"/>
      <selection pane="bottomLeft" activeCell="Z105" sqref="Z105"/>
      <selection pane="bottomRight" activeCell="Z105" sqref="Z105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2" width="15.453125" style="5" hidden="1" customWidth="1" outlineLevel="1"/>
    <col min="3" max="3" width="12.90625" style="5" hidden="1" customWidth="1" outlineLevel="1"/>
    <col min="4" max="4" width="57.36328125" style="6" customWidth="1" collapsed="1"/>
    <col min="5" max="5" width="26.08984375" style="7" customWidth="1"/>
    <col min="6" max="6" width="26.08984375" style="82" customWidth="1"/>
    <col min="7" max="7" width="26.08984375" style="7" customWidth="1"/>
    <col min="8" max="8" width="26.08984375" style="6" customWidth="1"/>
    <col min="9" max="9" width="26.08984375" style="7" customWidth="1"/>
    <col min="10" max="10" width="26.08984375" style="82" customWidth="1"/>
    <col min="11" max="11" width="26.08984375" style="7" customWidth="1"/>
    <col min="12" max="12" width="26.08984375" style="83" customWidth="1"/>
    <col min="13" max="13" width="26.08984375" style="7" customWidth="1"/>
    <col min="14" max="14" width="26.08984375" style="82" customWidth="1"/>
    <col min="15" max="16" width="26.08984375" style="5" customWidth="1"/>
    <col min="17" max="17" width="29.6328125" style="5" customWidth="1"/>
    <col min="18" max="18" width="15.453125" style="5" customWidth="1"/>
    <col min="19" max="19" width="22.453125" style="8" hidden="1" customWidth="1"/>
    <col min="20" max="20" width="22.453125" style="5" hidden="1" customWidth="1"/>
    <col min="21" max="21" width="0" style="5" hidden="1" customWidth="1"/>
    <col min="22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5.4" customHeight="1">
      <c r="D6" s="14" t="s">
        <v>791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3" t="s">
        <v>686</v>
      </c>
      <c r="B12" s="3" t="s">
        <v>687</v>
      </c>
      <c r="D12" s="3" t="s">
        <v>791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>
        <f>SUM(E12:P12)</f>
        <v>0</v>
      </c>
      <c r="S12" s="35"/>
      <c r="T12" s="40">
        <f>IF(Q12-S12=0,0,(Q12-S12)/S12)</f>
        <v>0</v>
      </c>
    </row>
    <row r="13" spans="1:20" s="3" customFormat="1" ht="25.4" customHeight="1">
      <c r="A13" s="3" t="s">
        <v>792</v>
      </c>
      <c r="B13" s="3" t="s">
        <v>687</v>
      </c>
      <c r="C13" s="3" t="s">
        <v>793</v>
      </c>
      <c r="D13" s="26" t="s">
        <v>794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f>SUM(E13:P13)</f>
        <v>0</v>
      </c>
      <c r="S13" s="35"/>
      <c r="T13" s="40">
        <f t="shared" ref="T13:T76" si="0">IF(Q13-S13=0,0,(Q13-S13)/S13)</f>
        <v>0</v>
      </c>
    </row>
    <row r="14" spans="1:20" s="3" customFormat="1" ht="25.4" customHeight="1">
      <c r="D14" s="21" t="s">
        <v>655</v>
      </c>
      <c r="E14" s="30">
        <f>SUM(E12:E13)</f>
        <v>0</v>
      </c>
      <c r="F14" s="30">
        <f t="shared" ref="F14:Q14" si="1">SUM(F12:F13)</f>
        <v>0</v>
      </c>
      <c r="G14" s="30">
        <f t="shared" si="1"/>
        <v>0</v>
      </c>
      <c r="H14" s="30">
        <f t="shared" si="1"/>
        <v>0</v>
      </c>
      <c r="I14" s="30">
        <f t="shared" si="1"/>
        <v>0</v>
      </c>
      <c r="J14" s="30">
        <f t="shared" si="1"/>
        <v>0</v>
      </c>
      <c r="K14" s="30">
        <f t="shared" si="1"/>
        <v>0</v>
      </c>
      <c r="L14" s="30">
        <f t="shared" si="1"/>
        <v>0</v>
      </c>
      <c r="M14" s="30">
        <f t="shared" si="1"/>
        <v>0</v>
      </c>
      <c r="N14" s="30">
        <f t="shared" si="1"/>
        <v>0</v>
      </c>
      <c r="O14" s="30">
        <f t="shared" si="1"/>
        <v>0</v>
      </c>
      <c r="P14" s="30">
        <f t="shared" si="1"/>
        <v>0</v>
      </c>
      <c r="Q14" s="30">
        <f t="shared" si="1"/>
        <v>0</v>
      </c>
      <c r="S14" s="35"/>
      <c r="T14" s="40">
        <f t="shared" si="0"/>
        <v>0</v>
      </c>
    </row>
    <row r="15" spans="1:20" s="3" customFormat="1" ht="25.4" customHeight="1">
      <c r="D15" s="21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S15" s="35"/>
      <c r="T15" s="40"/>
    </row>
    <row r="16" spans="1:20" s="3" customFormat="1" ht="25.4" customHeight="1">
      <c r="D16" s="21" t="s">
        <v>411</v>
      </c>
      <c r="E16" s="27"/>
      <c r="F16" s="89"/>
      <c r="G16" s="27"/>
      <c r="H16" s="89"/>
      <c r="I16" s="27"/>
      <c r="J16" s="89"/>
      <c r="K16" s="27"/>
      <c r="L16" s="89"/>
      <c r="M16" s="27"/>
      <c r="N16" s="89"/>
      <c r="O16" s="96"/>
      <c r="P16" s="96"/>
      <c r="Q16" s="96"/>
      <c r="S16" s="35"/>
      <c r="T16" s="40"/>
    </row>
    <row r="17" spans="1:20" s="3" customFormat="1" ht="25.4" hidden="1" customHeight="1">
      <c r="A17" s="3" t="s">
        <v>749</v>
      </c>
      <c r="B17" s="3" t="s">
        <v>687</v>
      </c>
      <c r="D17" s="26" t="s">
        <v>795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6">
        <f>SUM(E17:P17)</f>
        <v>0</v>
      </c>
      <c r="S17" s="35"/>
      <c r="T17" s="40">
        <f t="shared" si="0"/>
        <v>0</v>
      </c>
    </row>
    <row r="18" spans="1:20" s="3" customFormat="1" ht="25.4" hidden="1" customHeight="1">
      <c r="A18" s="3" t="s">
        <v>749</v>
      </c>
      <c r="B18" s="3" t="s">
        <v>687</v>
      </c>
      <c r="C18" s="3" t="s">
        <v>793</v>
      </c>
      <c r="D18" s="26" t="s">
        <v>794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6">
        <f t="shared" ref="Q18:Q25" si="2">SUM(E18:P18)</f>
        <v>0</v>
      </c>
      <c r="S18" s="35"/>
      <c r="T18" s="40">
        <f t="shared" si="0"/>
        <v>0</v>
      </c>
    </row>
    <row r="19" spans="1:20" s="3" customFormat="1" ht="25.4" hidden="1" customHeight="1">
      <c r="A19" s="3" t="s">
        <v>749</v>
      </c>
      <c r="B19" s="3" t="s">
        <v>687</v>
      </c>
      <c r="C19" s="3" t="s">
        <v>796</v>
      </c>
      <c r="D19" s="26" t="s">
        <v>797</v>
      </c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6">
        <f t="shared" si="2"/>
        <v>0</v>
      </c>
      <c r="S19" s="35"/>
      <c r="T19" s="40">
        <f t="shared" si="0"/>
        <v>0</v>
      </c>
    </row>
    <row r="20" spans="1:20" s="3" customFormat="1" ht="25.4" hidden="1" customHeight="1">
      <c r="A20" s="3" t="s">
        <v>749</v>
      </c>
      <c r="B20" s="3" t="s">
        <v>687</v>
      </c>
      <c r="C20" s="3" t="s">
        <v>798</v>
      </c>
      <c r="D20" s="72" t="s">
        <v>799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6">
        <f t="shared" si="2"/>
        <v>0</v>
      </c>
      <c r="S20" s="35"/>
      <c r="T20" s="40">
        <f t="shared" si="0"/>
        <v>0</v>
      </c>
    </row>
    <row r="21" spans="1:20" s="3" customFormat="1" ht="25.4" hidden="1" customHeight="1">
      <c r="A21" s="3" t="s">
        <v>749</v>
      </c>
      <c r="B21" s="3" t="s">
        <v>687</v>
      </c>
      <c r="C21" s="3" t="s">
        <v>800</v>
      </c>
      <c r="D21" s="26" t="s">
        <v>801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6">
        <f t="shared" si="2"/>
        <v>0</v>
      </c>
      <c r="S21" s="35"/>
      <c r="T21" s="40">
        <f t="shared" si="0"/>
        <v>0</v>
      </c>
    </row>
    <row r="22" spans="1:20" s="3" customFormat="1" ht="25.4" hidden="1" customHeight="1">
      <c r="A22" s="3" t="s">
        <v>749</v>
      </c>
      <c r="B22" s="3" t="s">
        <v>687</v>
      </c>
      <c r="C22" s="3" t="s">
        <v>802</v>
      </c>
      <c r="D22" s="26" t="s">
        <v>803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6">
        <f t="shared" si="2"/>
        <v>0</v>
      </c>
      <c r="S22" s="35"/>
      <c r="T22" s="40">
        <f t="shared" si="0"/>
        <v>0</v>
      </c>
    </row>
    <row r="23" spans="1:20" s="3" customFormat="1" ht="25.4" hidden="1" customHeight="1">
      <c r="A23" s="3" t="s">
        <v>749</v>
      </c>
      <c r="B23" s="3" t="s">
        <v>687</v>
      </c>
      <c r="C23" s="3" t="s">
        <v>804</v>
      </c>
      <c r="D23" s="26" t="s">
        <v>805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6">
        <f t="shared" si="2"/>
        <v>0</v>
      </c>
      <c r="S23" s="35"/>
      <c r="T23" s="40">
        <f t="shared" si="0"/>
        <v>0</v>
      </c>
    </row>
    <row r="24" spans="1:20" s="3" customFormat="1" ht="25.4" customHeight="1">
      <c r="A24" s="3" t="s">
        <v>749</v>
      </c>
      <c r="B24" s="3" t="s">
        <v>687</v>
      </c>
      <c r="C24" s="3" t="s">
        <v>806</v>
      </c>
      <c r="D24" s="26" t="s">
        <v>746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6">
        <f t="shared" si="2"/>
        <v>0</v>
      </c>
      <c r="S24" s="35"/>
      <c r="T24" s="40">
        <f>-IF(Q24-S24=0,0,(Q24-S24)/S24)</f>
        <v>0</v>
      </c>
    </row>
    <row r="25" spans="1:20" s="19" customFormat="1" ht="25.4" customHeight="1">
      <c r="A25" s="3" t="s">
        <v>807</v>
      </c>
      <c r="B25" s="3" t="s">
        <v>687</v>
      </c>
      <c r="C25" s="3"/>
      <c r="D25" s="21" t="s">
        <v>755</v>
      </c>
      <c r="E25" s="91">
        <f>SUM(E17:E24)</f>
        <v>0</v>
      </c>
      <c r="F25" s="91">
        <f t="shared" ref="F25:P25" si="3">SUM(F17:F24)</f>
        <v>0</v>
      </c>
      <c r="G25" s="91">
        <f t="shared" si="3"/>
        <v>0</v>
      </c>
      <c r="H25" s="91">
        <f t="shared" si="3"/>
        <v>0</v>
      </c>
      <c r="I25" s="91">
        <f t="shared" si="3"/>
        <v>0</v>
      </c>
      <c r="J25" s="91">
        <f t="shared" si="3"/>
        <v>0</v>
      </c>
      <c r="K25" s="91">
        <f t="shared" si="3"/>
        <v>0</v>
      </c>
      <c r="L25" s="91">
        <f t="shared" si="3"/>
        <v>0</v>
      </c>
      <c r="M25" s="91">
        <f t="shared" si="3"/>
        <v>0</v>
      </c>
      <c r="N25" s="91">
        <f t="shared" si="3"/>
        <v>0</v>
      </c>
      <c r="O25" s="91">
        <f t="shared" si="3"/>
        <v>0</v>
      </c>
      <c r="P25" s="91">
        <f t="shared" si="3"/>
        <v>0</v>
      </c>
      <c r="Q25" s="111">
        <f t="shared" si="2"/>
        <v>0</v>
      </c>
      <c r="R25" s="39">
        <f>IF(Q14=0,0,Q25/$Q$14)</f>
        <v>0</v>
      </c>
      <c r="S25" s="35"/>
      <c r="T25" s="40">
        <f>-IF(Q25-S25=0,0,(Q25-S25)/S25)</f>
        <v>0</v>
      </c>
    </row>
    <row r="26" spans="1:20" s="19" customFormat="1" ht="25.4" customHeight="1">
      <c r="A26" s="3"/>
      <c r="B26" s="3"/>
      <c r="C26" s="3"/>
      <c r="D26" s="21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6"/>
      <c r="R26" s="3"/>
      <c r="S26" s="35"/>
      <c r="T26" s="40"/>
    </row>
    <row r="27" spans="1:20" s="19" customFormat="1" ht="25.4" customHeight="1">
      <c r="A27" s="19" t="s">
        <v>466</v>
      </c>
      <c r="B27" s="19" t="s">
        <v>687</v>
      </c>
      <c r="D27" s="19" t="s">
        <v>756</v>
      </c>
      <c r="E27" s="92">
        <f>E135</f>
        <v>0</v>
      </c>
      <c r="F27" s="92">
        <f t="shared" ref="F27:P27" si="4">F135</f>
        <v>0</v>
      </c>
      <c r="G27" s="92">
        <f t="shared" si="4"/>
        <v>0</v>
      </c>
      <c r="H27" s="92">
        <f t="shared" si="4"/>
        <v>0</v>
      </c>
      <c r="I27" s="92">
        <f t="shared" si="4"/>
        <v>0</v>
      </c>
      <c r="J27" s="92">
        <f t="shared" si="4"/>
        <v>0</v>
      </c>
      <c r="K27" s="92">
        <f t="shared" si="4"/>
        <v>0</v>
      </c>
      <c r="L27" s="92">
        <f t="shared" si="4"/>
        <v>0</v>
      </c>
      <c r="M27" s="92">
        <f t="shared" si="4"/>
        <v>0</v>
      </c>
      <c r="N27" s="92">
        <f t="shared" si="4"/>
        <v>0</v>
      </c>
      <c r="O27" s="92">
        <f t="shared" si="4"/>
        <v>0</v>
      </c>
      <c r="P27" s="92">
        <f t="shared" si="4"/>
        <v>0</v>
      </c>
      <c r="Q27" s="97">
        <f>SUM(E27:P27)</f>
        <v>0</v>
      </c>
      <c r="R27" s="39">
        <f>IF(Q14=0,0,Q27/$Q$14)</f>
        <v>0</v>
      </c>
      <c r="S27" s="35"/>
      <c r="T27" s="40">
        <f>-IF(Q27-S27=0,0,(Q27-S27)/S27)</f>
        <v>0</v>
      </c>
    </row>
    <row r="28" spans="1:20" s="19" customFormat="1" ht="25.4" customHeight="1">
      <c r="D28" s="26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6"/>
      <c r="R28" s="3"/>
      <c r="S28" s="35"/>
      <c r="T28" s="40"/>
    </row>
    <row r="29" spans="1:20" s="19" customFormat="1" ht="25.4" customHeight="1">
      <c r="D29" s="21" t="s">
        <v>757</v>
      </c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6"/>
      <c r="R29" s="3"/>
      <c r="S29" s="35"/>
      <c r="T29" s="40"/>
    </row>
    <row r="30" spans="1:20" s="19" customFormat="1" ht="25.4" hidden="1" customHeight="1">
      <c r="A30" s="19" t="s">
        <v>468</v>
      </c>
      <c r="B30" s="19" t="s">
        <v>687</v>
      </c>
      <c r="D30" s="26" t="s">
        <v>143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6">
        <f>SUM(E30:P30)</f>
        <v>0</v>
      </c>
      <c r="R30" s="3"/>
      <c r="S30" s="35"/>
      <c r="T30" s="40">
        <f t="shared" si="0"/>
        <v>0</v>
      </c>
    </row>
    <row r="31" spans="1:20" s="19" customFormat="1" ht="25.4" hidden="1" customHeight="1">
      <c r="A31" s="19" t="s">
        <v>470</v>
      </c>
      <c r="B31" s="19" t="s">
        <v>687</v>
      </c>
      <c r="D31" s="26" t="s">
        <v>145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6">
        <f t="shared" ref="Q31:Q94" si="5">SUM(E31:P31)</f>
        <v>0</v>
      </c>
      <c r="R31" s="3"/>
      <c r="S31" s="35"/>
      <c r="T31" s="40">
        <f t="shared" si="0"/>
        <v>0</v>
      </c>
    </row>
    <row r="32" spans="1:20" s="19" customFormat="1" ht="25.4" hidden="1" customHeight="1">
      <c r="A32" s="19" t="s">
        <v>472</v>
      </c>
      <c r="B32" s="19" t="s">
        <v>687</v>
      </c>
      <c r="D32" s="26" t="s">
        <v>147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6">
        <f t="shared" si="5"/>
        <v>0</v>
      </c>
      <c r="R32" s="3"/>
      <c r="S32" s="35"/>
      <c r="T32" s="40">
        <f t="shared" si="0"/>
        <v>0</v>
      </c>
    </row>
    <row r="33" spans="1:20" s="19" customFormat="1" ht="25.4" hidden="1" customHeight="1">
      <c r="A33" s="19" t="s">
        <v>474</v>
      </c>
      <c r="B33" s="19" t="s">
        <v>687</v>
      </c>
      <c r="D33" s="26" t="s">
        <v>149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6">
        <f t="shared" si="5"/>
        <v>0</v>
      </c>
      <c r="R33" s="3"/>
      <c r="S33" s="35"/>
      <c r="T33" s="40">
        <f t="shared" si="0"/>
        <v>0</v>
      </c>
    </row>
    <row r="34" spans="1:20" s="19" customFormat="1" ht="25.4" hidden="1" customHeight="1">
      <c r="A34" s="19" t="s">
        <v>476</v>
      </c>
      <c r="B34" s="19" t="s">
        <v>687</v>
      </c>
      <c r="D34" s="26" t="s">
        <v>151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6">
        <f t="shared" si="5"/>
        <v>0</v>
      </c>
      <c r="R34" s="3"/>
      <c r="S34" s="35"/>
      <c r="T34" s="40">
        <f t="shared" si="0"/>
        <v>0</v>
      </c>
    </row>
    <row r="35" spans="1:20" s="19" customFormat="1" ht="25.4" hidden="1" customHeight="1">
      <c r="A35" s="19" t="s">
        <v>478</v>
      </c>
      <c r="B35" s="19" t="s">
        <v>687</v>
      </c>
      <c r="D35" s="26" t="s">
        <v>153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90">
        <v>0</v>
      </c>
      <c r="O35" s="90">
        <v>0</v>
      </c>
      <c r="P35" s="90">
        <v>0</v>
      </c>
      <c r="Q35" s="96">
        <f t="shared" si="5"/>
        <v>0</v>
      </c>
      <c r="R35" s="3"/>
      <c r="S35" s="35"/>
      <c r="T35" s="40">
        <f t="shared" si="0"/>
        <v>0</v>
      </c>
    </row>
    <row r="36" spans="1:20" s="19" customFormat="1" ht="25.4" hidden="1" customHeight="1">
      <c r="A36" s="19" t="s">
        <v>480</v>
      </c>
      <c r="B36" s="19" t="s">
        <v>687</v>
      </c>
      <c r="D36" s="26" t="s">
        <v>155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6">
        <f t="shared" si="5"/>
        <v>0</v>
      </c>
      <c r="R36" s="3"/>
      <c r="S36" s="35"/>
      <c r="T36" s="40">
        <f t="shared" si="0"/>
        <v>0</v>
      </c>
    </row>
    <row r="37" spans="1:20" s="19" customFormat="1" ht="25.4" hidden="1" customHeight="1">
      <c r="A37" s="19" t="s">
        <v>482</v>
      </c>
      <c r="B37" s="19" t="s">
        <v>687</v>
      </c>
      <c r="D37" s="26" t="s">
        <v>157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90">
        <v>0</v>
      </c>
      <c r="O37" s="90">
        <v>0</v>
      </c>
      <c r="P37" s="90">
        <v>0</v>
      </c>
      <c r="Q37" s="96">
        <f t="shared" si="5"/>
        <v>0</v>
      </c>
      <c r="R37" s="3"/>
      <c r="S37" s="35"/>
      <c r="T37" s="40">
        <f t="shared" si="0"/>
        <v>0</v>
      </c>
    </row>
    <row r="38" spans="1:20" s="19" customFormat="1" ht="25.4" hidden="1" customHeight="1">
      <c r="A38" s="19" t="s">
        <v>484</v>
      </c>
      <c r="B38" s="19" t="s">
        <v>687</v>
      </c>
      <c r="D38" s="26" t="s">
        <v>159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6">
        <f t="shared" si="5"/>
        <v>0</v>
      </c>
      <c r="R38" s="3"/>
      <c r="S38" s="35"/>
      <c r="T38" s="40">
        <f t="shared" si="0"/>
        <v>0</v>
      </c>
    </row>
    <row r="39" spans="1:20" s="19" customFormat="1" ht="25.4" hidden="1" customHeight="1">
      <c r="A39" s="19" t="s">
        <v>486</v>
      </c>
      <c r="B39" s="19" t="s">
        <v>687</v>
      </c>
      <c r="D39" s="26" t="s">
        <v>161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6">
        <f t="shared" si="5"/>
        <v>0</v>
      </c>
      <c r="R39" s="3"/>
      <c r="S39" s="35"/>
      <c r="T39" s="40">
        <f t="shared" si="0"/>
        <v>0</v>
      </c>
    </row>
    <row r="40" spans="1:20" s="19" customFormat="1" ht="25.4" hidden="1" customHeight="1">
      <c r="A40" s="19" t="s">
        <v>488</v>
      </c>
      <c r="B40" s="19" t="s">
        <v>687</v>
      </c>
      <c r="D40" s="26" t="s">
        <v>163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6">
        <f t="shared" si="5"/>
        <v>0</v>
      </c>
      <c r="R40" s="3"/>
      <c r="S40" s="35"/>
      <c r="T40" s="40">
        <f t="shared" si="0"/>
        <v>0</v>
      </c>
    </row>
    <row r="41" spans="1:20" s="19" customFormat="1" ht="25.4" hidden="1" customHeight="1">
      <c r="A41" s="19" t="s">
        <v>490</v>
      </c>
      <c r="B41" s="19" t="s">
        <v>687</v>
      </c>
      <c r="D41" s="26" t="s">
        <v>165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0</v>
      </c>
      <c r="P41" s="90">
        <v>0</v>
      </c>
      <c r="Q41" s="96">
        <f t="shared" si="5"/>
        <v>0</v>
      </c>
      <c r="R41" s="3"/>
      <c r="S41" s="35"/>
      <c r="T41" s="40">
        <f t="shared" si="0"/>
        <v>0</v>
      </c>
    </row>
    <row r="42" spans="1:20" s="19" customFormat="1" ht="25.4" hidden="1" customHeight="1">
      <c r="A42" s="19" t="s">
        <v>492</v>
      </c>
      <c r="B42" s="19" t="s">
        <v>687</v>
      </c>
      <c r="D42" s="26" t="s">
        <v>167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6">
        <f t="shared" si="5"/>
        <v>0</v>
      </c>
      <c r="R42" s="3"/>
      <c r="S42" s="35"/>
      <c r="T42" s="40">
        <f t="shared" si="0"/>
        <v>0</v>
      </c>
    </row>
    <row r="43" spans="1:20" s="19" customFormat="1" ht="25.4" hidden="1" customHeight="1">
      <c r="A43" s="19" t="s">
        <v>494</v>
      </c>
      <c r="B43" s="19" t="s">
        <v>687</v>
      </c>
      <c r="D43" s="26" t="s">
        <v>169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90">
        <v>0</v>
      </c>
      <c r="O43" s="90">
        <v>0</v>
      </c>
      <c r="P43" s="90">
        <v>0</v>
      </c>
      <c r="Q43" s="96">
        <f t="shared" si="5"/>
        <v>0</v>
      </c>
      <c r="R43" s="3"/>
      <c r="S43" s="35"/>
      <c r="T43" s="40">
        <f t="shared" si="0"/>
        <v>0</v>
      </c>
    </row>
    <row r="44" spans="1:20" s="3" customFormat="1" ht="25.4" hidden="1" customHeight="1">
      <c r="A44" s="3" t="s">
        <v>496</v>
      </c>
      <c r="B44" s="3" t="s">
        <v>687</v>
      </c>
      <c r="D44" s="26" t="s">
        <v>171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6">
        <f t="shared" si="5"/>
        <v>0</v>
      </c>
      <c r="S44" s="35"/>
      <c r="T44" s="40">
        <f t="shared" si="0"/>
        <v>0</v>
      </c>
    </row>
    <row r="45" spans="1:20" s="3" customFormat="1" ht="25.4" hidden="1" customHeight="1">
      <c r="A45" s="3" t="s">
        <v>497</v>
      </c>
      <c r="B45" s="3" t="s">
        <v>687</v>
      </c>
      <c r="D45" s="26" t="s">
        <v>173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6">
        <f t="shared" si="5"/>
        <v>0</v>
      </c>
      <c r="S45" s="35"/>
      <c r="T45" s="40">
        <f t="shared" si="0"/>
        <v>0</v>
      </c>
    </row>
    <row r="46" spans="1:20" s="3" customFormat="1" ht="25.4" hidden="1" customHeight="1">
      <c r="A46" s="254" t="s">
        <v>498</v>
      </c>
      <c r="B46" s="51" t="s">
        <v>687</v>
      </c>
      <c r="D46" s="26" t="s">
        <v>175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90">
        <v>0</v>
      </c>
      <c r="O46" s="90">
        <v>0</v>
      </c>
      <c r="P46" s="90">
        <v>0</v>
      </c>
      <c r="Q46" s="96">
        <f t="shared" si="5"/>
        <v>0</v>
      </c>
      <c r="S46" s="35"/>
      <c r="T46" s="40">
        <f t="shared" si="0"/>
        <v>0</v>
      </c>
    </row>
    <row r="47" spans="1:20" s="3" customFormat="1" ht="25.4" hidden="1" customHeight="1">
      <c r="A47" s="254" t="s">
        <v>500</v>
      </c>
      <c r="B47" s="51" t="s">
        <v>687</v>
      </c>
      <c r="D47" s="26" t="s">
        <v>177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96">
        <f t="shared" si="5"/>
        <v>0</v>
      </c>
      <c r="S47" s="35"/>
      <c r="T47" s="40">
        <f t="shared" si="0"/>
        <v>0</v>
      </c>
    </row>
    <row r="48" spans="1:20" s="3" customFormat="1" ht="25.4" hidden="1" customHeight="1">
      <c r="A48" s="3" t="s">
        <v>502</v>
      </c>
      <c r="B48" s="51" t="s">
        <v>687</v>
      </c>
      <c r="D48" s="26" t="s">
        <v>179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6">
        <f t="shared" si="5"/>
        <v>0</v>
      </c>
      <c r="S48" s="35"/>
      <c r="T48" s="40">
        <f t="shared" si="0"/>
        <v>0</v>
      </c>
    </row>
    <row r="49" spans="1:20" s="3" customFormat="1" ht="25.4" hidden="1" customHeight="1">
      <c r="A49" s="3" t="s">
        <v>504</v>
      </c>
      <c r="B49" s="51" t="s">
        <v>687</v>
      </c>
      <c r="D49" s="26" t="s">
        <v>181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6">
        <f t="shared" si="5"/>
        <v>0</v>
      </c>
      <c r="S49" s="35"/>
      <c r="T49" s="40">
        <f t="shared" si="0"/>
        <v>0</v>
      </c>
    </row>
    <row r="50" spans="1:20" s="3" customFormat="1" ht="25.4" hidden="1" customHeight="1">
      <c r="A50" s="254" t="s">
        <v>506</v>
      </c>
      <c r="B50" s="51" t="s">
        <v>687</v>
      </c>
      <c r="D50" s="26" t="s">
        <v>183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6">
        <f t="shared" si="5"/>
        <v>0</v>
      </c>
      <c r="S50" s="35"/>
      <c r="T50" s="40">
        <f t="shared" si="0"/>
        <v>0</v>
      </c>
    </row>
    <row r="51" spans="1:20" s="3" customFormat="1" ht="25.4" hidden="1" customHeight="1">
      <c r="A51" s="54" t="s">
        <v>508</v>
      </c>
      <c r="B51" s="51" t="s">
        <v>687</v>
      </c>
      <c r="D51" s="26" t="s">
        <v>185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6">
        <f t="shared" si="5"/>
        <v>0</v>
      </c>
      <c r="S51" s="35"/>
      <c r="T51" s="40">
        <f t="shared" si="0"/>
        <v>0</v>
      </c>
    </row>
    <row r="52" spans="1:20" s="3" customFormat="1" ht="25.4" hidden="1" customHeight="1">
      <c r="A52" s="254" t="s">
        <v>510</v>
      </c>
      <c r="B52" s="3" t="s">
        <v>687</v>
      </c>
      <c r="D52" s="26" t="s">
        <v>187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6">
        <f t="shared" si="5"/>
        <v>0</v>
      </c>
      <c r="S52" s="35"/>
      <c r="T52" s="40">
        <f t="shared" si="0"/>
        <v>0</v>
      </c>
    </row>
    <row r="53" spans="1:20" s="3" customFormat="1" ht="25.4" hidden="1" customHeight="1">
      <c r="A53" s="254" t="s">
        <v>512</v>
      </c>
      <c r="B53" s="51" t="s">
        <v>687</v>
      </c>
      <c r="D53" s="26" t="s">
        <v>189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  <c r="N53" s="90">
        <v>0</v>
      </c>
      <c r="O53" s="90">
        <v>0</v>
      </c>
      <c r="P53" s="90">
        <v>0</v>
      </c>
      <c r="Q53" s="96">
        <f t="shared" si="5"/>
        <v>0</v>
      </c>
      <c r="S53" s="35"/>
      <c r="T53" s="40">
        <f t="shared" si="0"/>
        <v>0</v>
      </c>
    </row>
    <row r="54" spans="1:20" s="3" customFormat="1" ht="25.4" hidden="1" customHeight="1">
      <c r="A54" s="254" t="s">
        <v>514</v>
      </c>
      <c r="B54" s="51" t="s">
        <v>687</v>
      </c>
      <c r="D54" s="26" t="s">
        <v>191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90">
        <v>0</v>
      </c>
      <c r="P54" s="90">
        <v>0</v>
      </c>
      <c r="Q54" s="96">
        <f t="shared" si="5"/>
        <v>0</v>
      </c>
      <c r="S54" s="35"/>
      <c r="T54" s="40">
        <f t="shared" si="0"/>
        <v>0</v>
      </c>
    </row>
    <row r="55" spans="1:20" s="19" customFormat="1" ht="25.4" hidden="1" customHeight="1">
      <c r="A55" s="254" t="s">
        <v>516</v>
      </c>
      <c r="B55" s="51" t="s">
        <v>687</v>
      </c>
      <c r="D55" s="26" t="s">
        <v>193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6">
        <f t="shared" si="5"/>
        <v>0</v>
      </c>
      <c r="R55" s="3"/>
      <c r="S55" s="35"/>
      <c r="T55" s="40">
        <f t="shared" si="0"/>
        <v>0</v>
      </c>
    </row>
    <row r="56" spans="1:20" s="3" customFormat="1" ht="25.4" hidden="1" customHeight="1">
      <c r="A56" s="50" t="s">
        <v>518</v>
      </c>
      <c r="B56" s="3" t="s">
        <v>687</v>
      </c>
      <c r="D56" s="26" t="s">
        <v>195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90">
        <v>0</v>
      </c>
      <c r="O56" s="90">
        <v>0</v>
      </c>
      <c r="P56" s="90">
        <v>0</v>
      </c>
      <c r="Q56" s="96">
        <f t="shared" si="5"/>
        <v>0</v>
      </c>
      <c r="S56" s="35"/>
      <c r="T56" s="40">
        <f t="shared" si="0"/>
        <v>0</v>
      </c>
    </row>
    <row r="57" spans="1:20" s="3" customFormat="1" ht="25.4" hidden="1" customHeight="1">
      <c r="A57" s="254" t="s">
        <v>520</v>
      </c>
      <c r="B57" s="51" t="s">
        <v>687</v>
      </c>
      <c r="D57" s="26" t="s">
        <v>197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6">
        <f t="shared" si="5"/>
        <v>0</v>
      </c>
      <c r="S57" s="35"/>
      <c r="T57" s="40">
        <f t="shared" si="0"/>
        <v>0</v>
      </c>
    </row>
    <row r="58" spans="1:20" s="3" customFormat="1" ht="25.4" hidden="1" customHeight="1">
      <c r="A58" s="254" t="s">
        <v>522</v>
      </c>
      <c r="B58" s="51" t="s">
        <v>687</v>
      </c>
      <c r="D58" s="26" t="s">
        <v>199</v>
      </c>
      <c r="E58" s="90">
        <v>0</v>
      </c>
      <c r="F58" s="90">
        <v>0</v>
      </c>
      <c r="G58" s="90">
        <v>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90">
        <v>0</v>
      </c>
      <c r="P58" s="90">
        <v>0</v>
      </c>
      <c r="Q58" s="96">
        <f t="shared" si="5"/>
        <v>0</v>
      </c>
      <c r="R58" s="39" t="e">
        <f t="shared" ref="R58:R84" si="6">Q58/$Q$14</f>
        <v>#DIV/0!</v>
      </c>
      <c r="S58" s="35"/>
      <c r="T58" s="40">
        <f t="shared" si="0"/>
        <v>0</v>
      </c>
    </row>
    <row r="59" spans="1:20" s="3" customFormat="1" ht="25.4" hidden="1" customHeight="1">
      <c r="A59" s="254" t="s">
        <v>524</v>
      </c>
      <c r="B59" s="51" t="s">
        <v>687</v>
      </c>
      <c r="D59" s="26" t="s">
        <v>201</v>
      </c>
      <c r="E59" s="90">
        <v>0</v>
      </c>
      <c r="F59" s="90">
        <v>0</v>
      </c>
      <c r="G59" s="90">
        <v>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90">
        <v>0</v>
      </c>
      <c r="P59" s="90">
        <v>0</v>
      </c>
      <c r="Q59" s="96">
        <f t="shared" si="5"/>
        <v>0</v>
      </c>
      <c r="R59" s="39" t="e">
        <f t="shared" si="6"/>
        <v>#DIV/0!</v>
      </c>
      <c r="S59" s="35"/>
      <c r="T59" s="40">
        <f t="shared" si="0"/>
        <v>0</v>
      </c>
    </row>
    <row r="60" spans="1:20" s="3" customFormat="1" ht="25.4" hidden="1" customHeight="1">
      <c r="A60" s="254" t="s">
        <v>526</v>
      </c>
      <c r="B60" s="51" t="s">
        <v>687</v>
      </c>
      <c r="D60" s="26" t="s">
        <v>203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90">
        <v>0</v>
      </c>
      <c r="P60" s="90">
        <v>0</v>
      </c>
      <c r="Q60" s="96">
        <f t="shared" si="5"/>
        <v>0</v>
      </c>
      <c r="R60" s="39" t="e">
        <f t="shared" si="6"/>
        <v>#DIV/0!</v>
      </c>
      <c r="S60" s="35"/>
      <c r="T60" s="40">
        <f t="shared" si="0"/>
        <v>0</v>
      </c>
    </row>
    <row r="61" spans="1:20" s="3" customFormat="1" ht="25.4" hidden="1" customHeight="1">
      <c r="A61" s="254" t="s">
        <v>528</v>
      </c>
      <c r="B61" s="51" t="s">
        <v>687</v>
      </c>
      <c r="D61" s="26" t="s">
        <v>205</v>
      </c>
      <c r="E61" s="90">
        <v>0</v>
      </c>
      <c r="F61" s="90">
        <v>0</v>
      </c>
      <c r="G61" s="90">
        <v>0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90">
        <v>0</v>
      </c>
      <c r="O61" s="90">
        <v>0</v>
      </c>
      <c r="P61" s="90">
        <v>0</v>
      </c>
      <c r="Q61" s="96">
        <f t="shared" si="5"/>
        <v>0</v>
      </c>
      <c r="R61" s="39" t="e">
        <f t="shared" si="6"/>
        <v>#DIV/0!</v>
      </c>
      <c r="S61" s="35"/>
      <c r="T61" s="40">
        <f t="shared" si="0"/>
        <v>0</v>
      </c>
    </row>
    <row r="62" spans="1:20" s="3" customFormat="1" ht="25.4" hidden="1" customHeight="1">
      <c r="A62" s="254" t="s">
        <v>530</v>
      </c>
      <c r="B62" s="51" t="s">
        <v>687</v>
      </c>
      <c r="D62" s="26" t="s">
        <v>207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6">
        <f t="shared" si="5"/>
        <v>0</v>
      </c>
      <c r="R62" s="39" t="e">
        <f t="shared" si="6"/>
        <v>#DIV/0!</v>
      </c>
      <c r="S62" s="35"/>
      <c r="T62" s="40">
        <f t="shared" si="0"/>
        <v>0</v>
      </c>
    </row>
    <row r="63" spans="1:20" s="3" customFormat="1" ht="25.4" hidden="1" customHeight="1">
      <c r="A63" s="254" t="s">
        <v>532</v>
      </c>
      <c r="B63" s="51" t="s">
        <v>687</v>
      </c>
      <c r="D63" s="26" t="s">
        <v>209</v>
      </c>
      <c r="E63" s="90">
        <v>0</v>
      </c>
      <c r="F63" s="90">
        <v>0</v>
      </c>
      <c r="G63" s="90">
        <v>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90">
        <v>0</v>
      </c>
      <c r="P63" s="90">
        <v>0</v>
      </c>
      <c r="Q63" s="96">
        <f t="shared" si="5"/>
        <v>0</v>
      </c>
      <c r="R63" s="39" t="e">
        <f t="shared" si="6"/>
        <v>#DIV/0!</v>
      </c>
      <c r="S63" s="35"/>
      <c r="T63" s="40">
        <f t="shared" si="0"/>
        <v>0</v>
      </c>
    </row>
    <row r="64" spans="1:20" s="3" customFormat="1" ht="25.4" hidden="1" customHeight="1">
      <c r="A64" s="254" t="s">
        <v>534</v>
      </c>
      <c r="B64" s="51" t="s">
        <v>687</v>
      </c>
      <c r="D64" s="26" t="s">
        <v>211</v>
      </c>
      <c r="E64" s="90">
        <v>0</v>
      </c>
      <c r="F64" s="90">
        <v>0</v>
      </c>
      <c r="G64" s="90">
        <v>0</v>
      </c>
      <c r="H64" s="90">
        <v>0</v>
      </c>
      <c r="I64" s="90">
        <v>0</v>
      </c>
      <c r="J64" s="90">
        <v>0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0</v>
      </c>
      <c r="Q64" s="96">
        <f t="shared" si="5"/>
        <v>0</v>
      </c>
      <c r="R64" s="39" t="e">
        <f t="shared" si="6"/>
        <v>#DIV/0!</v>
      </c>
      <c r="S64" s="35"/>
      <c r="T64" s="40">
        <f t="shared" si="0"/>
        <v>0</v>
      </c>
    </row>
    <row r="65" spans="1:20" s="3" customFormat="1" ht="25.4" hidden="1" customHeight="1">
      <c r="A65" s="254" t="s">
        <v>536</v>
      </c>
      <c r="B65" s="51" t="s">
        <v>687</v>
      </c>
      <c r="D65" s="26" t="s">
        <v>213</v>
      </c>
      <c r="E65" s="90">
        <v>0</v>
      </c>
      <c r="F65" s="90">
        <v>0</v>
      </c>
      <c r="G65" s="90">
        <v>0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90">
        <v>0</v>
      </c>
      <c r="O65" s="90">
        <v>0</v>
      </c>
      <c r="P65" s="90">
        <v>0</v>
      </c>
      <c r="Q65" s="96">
        <f t="shared" si="5"/>
        <v>0</v>
      </c>
      <c r="R65" s="39" t="e">
        <f t="shared" si="6"/>
        <v>#DIV/0!</v>
      </c>
      <c r="S65" s="35"/>
      <c r="T65" s="40">
        <f t="shared" si="0"/>
        <v>0</v>
      </c>
    </row>
    <row r="66" spans="1:20" s="3" customFormat="1" ht="25.4" hidden="1" customHeight="1">
      <c r="A66" s="254" t="s">
        <v>538</v>
      </c>
      <c r="B66" s="51" t="s">
        <v>687</v>
      </c>
      <c r="D66" s="26" t="s">
        <v>215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  <c r="Q66" s="96">
        <f t="shared" si="5"/>
        <v>0</v>
      </c>
      <c r="R66" s="39" t="e">
        <f t="shared" si="6"/>
        <v>#DIV/0!</v>
      </c>
      <c r="S66" s="35"/>
      <c r="T66" s="40">
        <f t="shared" si="0"/>
        <v>0</v>
      </c>
    </row>
    <row r="67" spans="1:20" s="3" customFormat="1" ht="25.4" hidden="1" customHeight="1">
      <c r="A67" s="3" t="s">
        <v>540</v>
      </c>
      <c r="B67" s="51" t="s">
        <v>687</v>
      </c>
      <c r="D67" s="26" t="s">
        <v>217</v>
      </c>
      <c r="E67" s="90">
        <v>0</v>
      </c>
      <c r="F67" s="90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6">
        <f t="shared" si="5"/>
        <v>0</v>
      </c>
      <c r="R67" s="39" t="e">
        <f t="shared" si="6"/>
        <v>#DIV/0!</v>
      </c>
      <c r="S67" s="35"/>
      <c r="T67" s="40">
        <f t="shared" si="0"/>
        <v>0</v>
      </c>
    </row>
    <row r="68" spans="1:20" s="3" customFormat="1" ht="25.4" hidden="1" customHeight="1">
      <c r="A68" s="3" t="s">
        <v>542</v>
      </c>
      <c r="B68" s="51" t="s">
        <v>687</v>
      </c>
      <c r="D68" s="26" t="s">
        <v>219</v>
      </c>
      <c r="E68" s="90">
        <v>0</v>
      </c>
      <c r="F68" s="90">
        <v>0</v>
      </c>
      <c r="G68" s="90">
        <v>0</v>
      </c>
      <c r="H68" s="90">
        <v>0</v>
      </c>
      <c r="I68" s="90">
        <v>0</v>
      </c>
      <c r="J68" s="90">
        <v>0</v>
      </c>
      <c r="K68" s="90">
        <v>0</v>
      </c>
      <c r="L68" s="90">
        <v>0</v>
      </c>
      <c r="M68" s="90">
        <v>0</v>
      </c>
      <c r="N68" s="90">
        <v>0</v>
      </c>
      <c r="O68" s="90">
        <v>0</v>
      </c>
      <c r="P68" s="90">
        <v>0</v>
      </c>
      <c r="Q68" s="96">
        <f t="shared" si="5"/>
        <v>0</v>
      </c>
      <c r="R68" s="39" t="e">
        <f t="shared" si="6"/>
        <v>#DIV/0!</v>
      </c>
      <c r="S68" s="35"/>
      <c r="T68" s="40">
        <f t="shared" si="0"/>
        <v>0</v>
      </c>
    </row>
    <row r="69" spans="1:20" s="3" customFormat="1" ht="25.4" hidden="1" customHeight="1">
      <c r="A69" s="3" t="s">
        <v>544</v>
      </c>
      <c r="B69" s="51" t="s">
        <v>687</v>
      </c>
      <c r="D69" s="26" t="s">
        <v>221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0</v>
      </c>
      <c r="P69" s="90">
        <v>0</v>
      </c>
      <c r="Q69" s="96">
        <f t="shared" si="5"/>
        <v>0</v>
      </c>
      <c r="R69" s="39" t="e">
        <f t="shared" si="6"/>
        <v>#DIV/0!</v>
      </c>
      <c r="S69" s="35"/>
      <c r="T69" s="40">
        <f t="shared" si="0"/>
        <v>0</v>
      </c>
    </row>
    <row r="70" spans="1:20" s="3" customFormat="1" ht="25.4" hidden="1" customHeight="1">
      <c r="A70" s="3" t="s">
        <v>546</v>
      </c>
      <c r="B70" s="51" t="s">
        <v>687</v>
      </c>
      <c r="D70" s="26" t="s">
        <v>223</v>
      </c>
      <c r="E70" s="90">
        <v>0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6">
        <f t="shared" si="5"/>
        <v>0</v>
      </c>
      <c r="R70" s="39" t="e">
        <f t="shared" si="6"/>
        <v>#DIV/0!</v>
      </c>
      <c r="S70" s="35"/>
      <c r="T70" s="40">
        <f t="shared" si="0"/>
        <v>0</v>
      </c>
    </row>
    <row r="71" spans="1:20" s="3" customFormat="1" ht="25.4" hidden="1" customHeight="1">
      <c r="A71" s="3" t="s">
        <v>548</v>
      </c>
      <c r="B71" s="51" t="s">
        <v>687</v>
      </c>
      <c r="D71" s="26" t="s">
        <v>225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90">
        <v>0</v>
      </c>
      <c r="O71" s="90">
        <v>0</v>
      </c>
      <c r="P71" s="90">
        <v>0</v>
      </c>
      <c r="Q71" s="96">
        <f t="shared" si="5"/>
        <v>0</v>
      </c>
      <c r="R71" s="39" t="e">
        <f t="shared" si="6"/>
        <v>#DIV/0!</v>
      </c>
      <c r="S71" s="35"/>
      <c r="T71" s="40">
        <f t="shared" si="0"/>
        <v>0</v>
      </c>
    </row>
    <row r="72" spans="1:20" s="3" customFormat="1" ht="25.4" hidden="1" customHeight="1">
      <c r="A72" s="3" t="s">
        <v>550</v>
      </c>
      <c r="B72" s="51" t="s">
        <v>687</v>
      </c>
      <c r="D72" s="26" t="s">
        <v>227</v>
      </c>
      <c r="E72" s="90">
        <v>0</v>
      </c>
      <c r="F72" s="90">
        <v>0</v>
      </c>
      <c r="G72" s="90">
        <v>0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90">
        <v>0</v>
      </c>
      <c r="O72" s="90">
        <v>0</v>
      </c>
      <c r="P72" s="90">
        <v>0</v>
      </c>
      <c r="Q72" s="96">
        <f t="shared" si="5"/>
        <v>0</v>
      </c>
      <c r="R72" s="39" t="e">
        <f t="shared" si="6"/>
        <v>#DIV/0!</v>
      </c>
      <c r="S72" s="35"/>
      <c r="T72" s="40">
        <f t="shared" si="0"/>
        <v>0</v>
      </c>
    </row>
    <row r="73" spans="1:20" s="3" customFormat="1" ht="25.4" hidden="1" customHeight="1">
      <c r="A73" s="3" t="s">
        <v>552</v>
      </c>
      <c r="B73" s="51" t="s">
        <v>687</v>
      </c>
      <c r="D73" s="26" t="s">
        <v>229</v>
      </c>
      <c r="E73" s="90">
        <v>0</v>
      </c>
      <c r="F73" s="90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6">
        <f t="shared" si="5"/>
        <v>0</v>
      </c>
      <c r="R73" s="39" t="e">
        <f t="shared" si="6"/>
        <v>#DIV/0!</v>
      </c>
      <c r="S73" s="35"/>
      <c r="T73" s="40">
        <f t="shared" si="0"/>
        <v>0</v>
      </c>
    </row>
    <row r="74" spans="1:20" s="3" customFormat="1" ht="25.4" hidden="1" customHeight="1">
      <c r="A74" s="3" t="s">
        <v>554</v>
      </c>
      <c r="B74" s="51" t="s">
        <v>687</v>
      </c>
      <c r="D74" s="26" t="s">
        <v>231</v>
      </c>
      <c r="E74" s="90">
        <v>0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  <c r="Q74" s="96">
        <f t="shared" si="5"/>
        <v>0</v>
      </c>
      <c r="R74" s="39" t="e">
        <f t="shared" si="6"/>
        <v>#DIV/0!</v>
      </c>
      <c r="S74" s="35"/>
      <c r="T74" s="40">
        <f t="shared" si="0"/>
        <v>0</v>
      </c>
    </row>
    <row r="75" spans="1:20" s="3" customFormat="1" ht="25.4" hidden="1" customHeight="1">
      <c r="A75" s="254" t="s">
        <v>556</v>
      </c>
      <c r="B75" s="51" t="s">
        <v>687</v>
      </c>
      <c r="D75" s="26" t="s">
        <v>233</v>
      </c>
      <c r="E75" s="90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6">
        <f t="shared" si="5"/>
        <v>0</v>
      </c>
      <c r="R75" s="39" t="e">
        <f t="shared" si="6"/>
        <v>#DIV/0!</v>
      </c>
      <c r="S75" s="35"/>
      <c r="T75" s="40">
        <f t="shared" si="0"/>
        <v>0</v>
      </c>
    </row>
    <row r="76" spans="1:20" s="3" customFormat="1" ht="25.4" hidden="1" customHeight="1">
      <c r="A76" s="254" t="s">
        <v>558</v>
      </c>
      <c r="B76" s="51" t="s">
        <v>687</v>
      </c>
      <c r="D76" s="26" t="s">
        <v>235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6">
        <f t="shared" si="5"/>
        <v>0</v>
      </c>
      <c r="R76" s="39" t="e">
        <f t="shared" si="6"/>
        <v>#DIV/0!</v>
      </c>
      <c r="S76" s="35"/>
      <c r="T76" s="40">
        <f t="shared" si="0"/>
        <v>0</v>
      </c>
    </row>
    <row r="77" spans="1:20" s="3" customFormat="1" ht="25.4" hidden="1" customHeight="1">
      <c r="A77" s="254" t="s">
        <v>422</v>
      </c>
      <c r="B77" s="51" t="s">
        <v>687</v>
      </c>
      <c r="D77" s="26" t="s">
        <v>423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6">
        <f t="shared" si="5"/>
        <v>0</v>
      </c>
      <c r="R77" s="39" t="e">
        <f t="shared" si="6"/>
        <v>#DIV/0!</v>
      </c>
      <c r="S77" s="35"/>
      <c r="T77" s="40">
        <f t="shared" ref="T77:T101" si="7">IF(Q77-S77=0,0,(Q77-S77)/S77)</f>
        <v>0</v>
      </c>
    </row>
    <row r="78" spans="1:20" ht="26.25" hidden="1" customHeight="1">
      <c r="A78" s="5" t="s">
        <v>560</v>
      </c>
      <c r="B78" s="5" t="s">
        <v>687</v>
      </c>
      <c r="D78" s="26" t="s">
        <v>237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90">
        <v>0</v>
      </c>
      <c r="O78" s="90">
        <v>0</v>
      </c>
      <c r="P78" s="90">
        <v>0</v>
      </c>
      <c r="Q78" s="96">
        <f t="shared" si="5"/>
        <v>0</v>
      </c>
      <c r="R78" s="39" t="e">
        <f t="shared" si="6"/>
        <v>#DIV/0!</v>
      </c>
      <c r="S78" s="35"/>
      <c r="T78" s="40">
        <f t="shared" si="7"/>
        <v>0</v>
      </c>
    </row>
    <row r="79" spans="1:20" ht="26.25" hidden="1" customHeight="1">
      <c r="A79" s="5" t="s">
        <v>562</v>
      </c>
      <c r="B79" s="5" t="s">
        <v>687</v>
      </c>
      <c r="D79" s="26" t="s">
        <v>239</v>
      </c>
      <c r="E79" s="90">
        <v>0</v>
      </c>
      <c r="F79" s="90">
        <v>0</v>
      </c>
      <c r="G79" s="90">
        <v>0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  <c r="Q79" s="96">
        <f t="shared" si="5"/>
        <v>0</v>
      </c>
      <c r="R79" s="39" t="e">
        <f t="shared" si="6"/>
        <v>#DIV/0!</v>
      </c>
      <c r="S79" s="35"/>
      <c r="T79" s="40">
        <f t="shared" si="7"/>
        <v>0</v>
      </c>
    </row>
    <row r="80" spans="1:20" ht="26.25" hidden="1" customHeight="1">
      <c r="A80" s="5" t="s">
        <v>564</v>
      </c>
      <c r="B80" s="5" t="s">
        <v>687</v>
      </c>
      <c r="D80" s="26" t="s">
        <v>241</v>
      </c>
      <c r="E80" s="90">
        <v>0</v>
      </c>
      <c r="F80" s="90">
        <v>0</v>
      </c>
      <c r="G80" s="90">
        <v>0</v>
      </c>
      <c r="H80" s="90">
        <v>0</v>
      </c>
      <c r="I80" s="90">
        <v>0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  <c r="Q80" s="96">
        <f t="shared" si="5"/>
        <v>0</v>
      </c>
      <c r="R80" s="39" t="e">
        <f t="shared" si="6"/>
        <v>#DIV/0!</v>
      </c>
      <c r="S80" s="35"/>
      <c r="T80" s="40">
        <f t="shared" si="7"/>
        <v>0</v>
      </c>
    </row>
    <row r="81" spans="1:20" ht="26.25" hidden="1" customHeight="1">
      <c r="A81" s="5" t="s">
        <v>566</v>
      </c>
      <c r="B81" s="5" t="s">
        <v>687</v>
      </c>
      <c r="D81" s="26" t="s">
        <v>243</v>
      </c>
      <c r="E81" s="90">
        <v>0</v>
      </c>
      <c r="F81" s="90">
        <v>0</v>
      </c>
      <c r="G81" s="90">
        <v>0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O81" s="90">
        <v>0</v>
      </c>
      <c r="P81" s="90">
        <v>0</v>
      </c>
      <c r="Q81" s="96">
        <f t="shared" si="5"/>
        <v>0</v>
      </c>
      <c r="R81" s="39" t="e">
        <f t="shared" si="6"/>
        <v>#DIV/0!</v>
      </c>
      <c r="S81" s="35"/>
      <c r="T81" s="40">
        <f t="shared" si="7"/>
        <v>0</v>
      </c>
    </row>
    <row r="82" spans="1:20" ht="26.25" hidden="1" customHeight="1">
      <c r="A82" s="5" t="s">
        <v>568</v>
      </c>
      <c r="B82" s="5" t="s">
        <v>687</v>
      </c>
      <c r="D82" s="26" t="s">
        <v>245</v>
      </c>
      <c r="E82" s="90">
        <v>0</v>
      </c>
      <c r="F82" s="90">
        <v>0</v>
      </c>
      <c r="G82" s="90">
        <v>0</v>
      </c>
      <c r="H82" s="90">
        <v>0</v>
      </c>
      <c r="I82" s="90">
        <v>0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  <c r="Q82" s="96">
        <f t="shared" si="5"/>
        <v>0</v>
      </c>
      <c r="R82" s="39" t="e">
        <f t="shared" si="6"/>
        <v>#DIV/0!</v>
      </c>
      <c r="S82" s="35"/>
      <c r="T82" s="40">
        <f t="shared" si="7"/>
        <v>0</v>
      </c>
    </row>
    <row r="83" spans="1:20" ht="26.25" hidden="1" customHeight="1">
      <c r="A83" s="5" t="s">
        <v>570</v>
      </c>
      <c r="B83" s="5" t="s">
        <v>687</v>
      </c>
      <c r="D83" s="26" t="s">
        <v>247</v>
      </c>
      <c r="E83" s="90">
        <v>0</v>
      </c>
      <c r="F83" s="90">
        <v>0</v>
      </c>
      <c r="G83" s="90">
        <v>0</v>
      </c>
      <c r="H83" s="90">
        <v>0</v>
      </c>
      <c r="I83" s="90">
        <v>0</v>
      </c>
      <c r="J83" s="90">
        <v>0</v>
      </c>
      <c r="K83" s="90">
        <v>0</v>
      </c>
      <c r="L83" s="90">
        <v>0</v>
      </c>
      <c r="M83" s="90">
        <v>0</v>
      </c>
      <c r="N83" s="90">
        <v>0</v>
      </c>
      <c r="O83" s="90">
        <v>0</v>
      </c>
      <c r="P83" s="90">
        <v>0</v>
      </c>
      <c r="Q83" s="96">
        <f t="shared" si="5"/>
        <v>0</v>
      </c>
      <c r="R83" s="39" t="e">
        <f t="shared" si="6"/>
        <v>#DIV/0!</v>
      </c>
      <c r="S83" s="35"/>
      <c r="T83" s="40">
        <f t="shared" si="7"/>
        <v>0</v>
      </c>
    </row>
    <row r="84" spans="1:20" ht="26.25" hidden="1" customHeight="1">
      <c r="A84" s="5" t="s">
        <v>572</v>
      </c>
      <c r="B84" s="5" t="s">
        <v>687</v>
      </c>
      <c r="D84" s="26" t="s">
        <v>249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0">
        <v>0</v>
      </c>
      <c r="O84" s="90">
        <v>0</v>
      </c>
      <c r="P84" s="90">
        <v>0</v>
      </c>
      <c r="Q84" s="96">
        <f t="shared" si="5"/>
        <v>0</v>
      </c>
      <c r="R84" s="39" t="e">
        <f t="shared" si="6"/>
        <v>#DIV/0!</v>
      </c>
      <c r="S84" s="35"/>
      <c r="T84" s="40">
        <f t="shared" si="7"/>
        <v>0</v>
      </c>
    </row>
    <row r="85" spans="1:20" ht="26.25" customHeight="1">
      <c r="A85" s="5" t="s">
        <v>574</v>
      </c>
      <c r="B85" s="5" t="s">
        <v>687</v>
      </c>
      <c r="D85" s="26" t="s">
        <v>251</v>
      </c>
      <c r="E85" s="90">
        <v>0</v>
      </c>
      <c r="F85" s="90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6">
        <f t="shared" si="5"/>
        <v>0</v>
      </c>
      <c r="R85" s="39">
        <f>IF($Q$14=0,0,Q85/$Q$14)</f>
        <v>0</v>
      </c>
      <c r="S85" s="35"/>
      <c r="T85" s="40">
        <f t="shared" si="7"/>
        <v>0</v>
      </c>
    </row>
    <row r="86" spans="1:20" ht="26.25" customHeight="1">
      <c r="A86" s="5" t="s">
        <v>576</v>
      </c>
      <c r="B86" s="5" t="s">
        <v>687</v>
      </c>
      <c r="D86" s="26" t="s">
        <v>253</v>
      </c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6">
        <f t="shared" si="5"/>
        <v>0</v>
      </c>
      <c r="R86" s="39">
        <f t="shared" ref="R86:R99" si="8">IF($Q$14=0,0,Q86/$Q$14)</f>
        <v>0</v>
      </c>
      <c r="S86" s="35"/>
      <c r="T86" s="40">
        <f>-IF(S86&lt;&gt;0,(Q86-S86)/S86,1)</f>
        <v>-1</v>
      </c>
    </row>
    <row r="87" spans="1:20" ht="26.25" hidden="1" customHeight="1">
      <c r="A87" s="5" t="s">
        <v>578</v>
      </c>
      <c r="B87" s="5" t="s">
        <v>687</v>
      </c>
      <c r="D87" s="26" t="s">
        <v>255</v>
      </c>
      <c r="E87" s="90">
        <v>0</v>
      </c>
      <c r="F87" s="90">
        <v>0</v>
      </c>
      <c r="G87" s="90">
        <v>0</v>
      </c>
      <c r="H87" s="90">
        <v>0</v>
      </c>
      <c r="I87" s="90">
        <v>0</v>
      </c>
      <c r="J87" s="90">
        <v>0</v>
      </c>
      <c r="K87" s="90">
        <v>0</v>
      </c>
      <c r="L87" s="90">
        <v>0</v>
      </c>
      <c r="M87" s="90">
        <v>0</v>
      </c>
      <c r="N87" s="90">
        <v>0</v>
      </c>
      <c r="O87" s="90">
        <v>0</v>
      </c>
      <c r="P87" s="90">
        <v>0</v>
      </c>
      <c r="Q87" s="96">
        <f t="shared" si="5"/>
        <v>0</v>
      </c>
      <c r="R87" s="39">
        <f t="shared" si="8"/>
        <v>0</v>
      </c>
      <c r="S87" s="35"/>
      <c r="T87" s="40">
        <f t="shared" ref="T87:T98" si="9">-IF(S87&lt;&gt;0,(Q87-S87)/S87,1)</f>
        <v>-1</v>
      </c>
    </row>
    <row r="88" spans="1:20" ht="26.25" hidden="1" customHeight="1">
      <c r="A88" s="5" t="s">
        <v>580</v>
      </c>
      <c r="B88" s="5" t="s">
        <v>687</v>
      </c>
      <c r="D88" s="26" t="s">
        <v>257</v>
      </c>
      <c r="E88" s="90">
        <v>0</v>
      </c>
      <c r="F88" s="90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6">
        <f t="shared" si="5"/>
        <v>0</v>
      </c>
      <c r="R88" s="39">
        <f t="shared" si="8"/>
        <v>0</v>
      </c>
      <c r="S88" s="35"/>
      <c r="T88" s="40">
        <f t="shared" si="9"/>
        <v>-1</v>
      </c>
    </row>
    <row r="89" spans="1:20" ht="26.25" hidden="1" customHeight="1">
      <c r="A89" s="5" t="s">
        <v>582</v>
      </c>
      <c r="B89" s="5" t="s">
        <v>687</v>
      </c>
      <c r="D89" s="26" t="s">
        <v>259</v>
      </c>
      <c r="E89" s="90">
        <v>0</v>
      </c>
      <c r="F89" s="90">
        <v>0</v>
      </c>
      <c r="G89" s="90">
        <v>0</v>
      </c>
      <c r="H89" s="90">
        <v>0</v>
      </c>
      <c r="I89" s="90">
        <v>0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  <c r="Q89" s="96">
        <f t="shared" si="5"/>
        <v>0</v>
      </c>
      <c r="R89" s="39">
        <f t="shared" si="8"/>
        <v>0</v>
      </c>
      <c r="S89" s="35"/>
      <c r="T89" s="40">
        <f t="shared" si="9"/>
        <v>-1</v>
      </c>
    </row>
    <row r="90" spans="1:20" ht="26.25" hidden="1" customHeight="1">
      <c r="A90" s="5" t="s">
        <v>584</v>
      </c>
      <c r="B90" s="5" t="s">
        <v>687</v>
      </c>
      <c r="D90" s="26" t="s">
        <v>261</v>
      </c>
      <c r="E90" s="90">
        <v>0</v>
      </c>
      <c r="F90" s="90">
        <v>0</v>
      </c>
      <c r="G90" s="90">
        <v>0</v>
      </c>
      <c r="H90" s="90">
        <v>0</v>
      </c>
      <c r="I90" s="90">
        <v>0</v>
      </c>
      <c r="J90" s="90">
        <v>0</v>
      </c>
      <c r="K90" s="90">
        <v>0</v>
      </c>
      <c r="L90" s="90">
        <v>0</v>
      </c>
      <c r="M90" s="90">
        <v>0</v>
      </c>
      <c r="N90" s="90">
        <v>0</v>
      </c>
      <c r="O90" s="90">
        <v>0</v>
      </c>
      <c r="P90" s="90">
        <v>0</v>
      </c>
      <c r="Q90" s="96">
        <f t="shared" si="5"/>
        <v>0</v>
      </c>
      <c r="R90" s="39">
        <f t="shared" si="8"/>
        <v>0</v>
      </c>
      <c r="S90" s="35"/>
      <c r="T90" s="40">
        <f t="shared" si="9"/>
        <v>-1</v>
      </c>
    </row>
    <row r="91" spans="1:20" ht="26.25" hidden="1" customHeight="1">
      <c r="A91" s="5" t="s">
        <v>586</v>
      </c>
      <c r="B91" s="5" t="s">
        <v>687</v>
      </c>
      <c r="D91" s="26" t="s">
        <v>263</v>
      </c>
      <c r="E91" s="90">
        <v>0</v>
      </c>
      <c r="F91" s="90">
        <v>0</v>
      </c>
      <c r="G91" s="90">
        <v>0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6">
        <f t="shared" si="5"/>
        <v>0</v>
      </c>
      <c r="R91" s="39">
        <f t="shared" si="8"/>
        <v>0</v>
      </c>
      <c r="S91" s="35"/>
      <c r="T91" s="40">
        <f t="shared" si="9"/>
        <v>-1</v>
      </c>
    </row>
    <row r="92" spans="1:20" ht="26.25" hidden="1" customHeight="1">
      <c r="A92" s="5" t="s">
        <v>588</v>
      </c>
      <c r="B92" s="5" t="s">
        <v>687</v>
      </c>
      <c r="D92" s="26" t="s">
        <v>265</v>
      </c>
      <c r="E92" s="90">
        <v>0</v>
      </c>
      <c r="F92" s="90">
        <v>0</v>
      </c>
      <c r="G92" s="90">
        <v>0</v>
      </c>
      <c r="H92" s="90">
        <v>0</v>
      </c>
      <c r="I92" s="90">
        <v>0</v>
      </c>
      <c r="J92" s="90">
        <v>0</v>
      </c>
      <c r="K92" s="90">
        <v>0</v>
      </c>
      <c r="L92" s="90">
        <v>0</v>
      </c>
      <c r="M92" s="90">
        <v>0</v>
      </c>
      <c r="N92" s="90">
        <v>0</v>
      </c>
      <c r="O92" s="90">
        <v>0</v>
      </c>
      <c r="P92" s="90">
        <v>0</v>
      </c>
      <c r="Q92" s="96">
        <f t="shared" si="5"/>
        <v>0</v>
      </c>
      <c r="R92" s="39">
        <f t="shared" si="8"/>
        <v>0</v>
      </c>
      <c r="S92" s="35"/>
      <c r="T92" s="40">
        <f t="shared" si="9"/>
        <v>-1</v>
      </c>
    </row>
    <row r="93" spans="1:20" ht="26.25" hidden="1" customHeight="1">
      <c r="A93" s="5" t="s">
        <v>590</v>
      </c>
      <c r="B93" s="5" t="s">
        <v>687</v>
      </c>
      <c r="D93" s="26" t="s">
        <v>267</v>
      </c>
      <c r="E93" s="90">
        <v>0</v>
      </c>
      <c r="F93" s="90">
        <v>0</v>
      </c>
      <c r="G93" s="90">
        <v>0</v>
      </c>
      <c r="H93" s="90">
        <v>0</v>
      </c>
      <c r="I93" s="90">
        <v>0</v>
      </c>
      <c r="J93" s="90">
        <v>0</v>
      </c>
      <c r="K93" s="90">
        <v>0</v>
      </c>
      <c r="L93" s="90">
        <v>0</v>
      </c>
      <c r="M93" s="90">
        <v>0</v>
      </c>
      <c r="N93" s="90">
        <v>0</v>
      </c>
      <c r="O93" s="90">
        <v>0</v>
      </c>
      <c r="P93" s="90">
        <v>0</v>
      </c>
      <c r="Q93" s="96">
        <f t="shared" si="5"/>
        <v>0</v>
      </c>
      <c r="R93" s="39">
        <f t="shared" si="8"/>
        <v>0</v>
      </c>
      <c r="S93" s="35"/>
      <c r="T93" s="40">
        <f t="shared" si="9"/>
        <v>-1</v>
      </c>
    </row>
    <row r="94" spans="1:20" ht="26.25" hidden="1" customHeight="1">
      <c r="A94" s="5" t="s">
        <v>592</v>
      </c>
      <c r="B94" s="5" t="s">
        <v>687</v>
      </c>
      <c r="D94" s="26" t="s">
        <v>269</v>
      </c>
      <c r="E94" s="90">
        <v>0</v>
      </c>
      <c r="F94" s="90">
        <v>0</v>
      </c>
      <c r="G94" s="90">
        <v>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  <c r="Q94" s="96">
        <f t="shared" si="5"/>
        <v>0</v>
      </c>
      <c r="R94" s="39">
        <f t="shared" si="8"/>
        <v>0</v>
      </c>
      <c r="S94" s="35"/>
      <c r="T94" s="40">
        <f t="shared" si="9"/>
        <v>-1</v>
      </c>
    </row>
    <row r="95" spans="1:20" ht="26.25" hidden="1" customHeight="1">
      <c r="A95" s="5" t="s">
        <v>270</v>
      </c>
      <c r="B95" s="5" t="s">
        <v>687</v>
      </c>
      <c r="D95" s="26" t="s">
        <v>271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6">
        <f t="shared" ref="Q95:Q97" si="10">SUM(E95:P95)</f>
        <v>0</v>
      </c>
      <c r="R95" s="39">
        <f t="shared" si="8"/>
        <v>0</v>
      </c>
      <c r="S95" s="35"/>
      <c r="T95" s="40">
        <f t="shared" si="9"/>
        <v>-1</v>
      </c>
    </row>
    <row r="96" spans="1:20" ht="26.25" hidden="1" customHeight="1">
      <c r="A96" s="5" t="s">
        <v>272</v>
      </c>
      <c r="B96" s="5" t="s">
        <v>687</v>
      </c>
      <c r="D96" s="26" t="s">
        <v>273</v>
      </c>
      <c r="E96" s="90">
        <v>0</v>
      </c>
      <c r="F96" s="90">
        <v>0</v>
      </c>
      <c r="G96" s="90">
        <v>0</v>
      </c>
      <c r="H96" s="90">
        <v>0</v>
      </c>
      <c r="I96" s="90">
        <v>0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90">
        <v>0</v>
      </c>
      <c r="P96" s="90">
        <v>0</v>
      </c>
      <c r="Q96" s="96">
        <f t="shared" si="10"/>
        <v>0</v>
      </c>
      <c r="R96" s="39">
        <f t="shared" si="8"/>
        <v>0</v>
      </c>
      <c r="S96" s="35"/>
      <c r="T96" s="40">
        <f t="shared" si="9"/>
        <v>-1</v>
      </c>
    </row>
    <row r="97" spans="1:20" ht="26.25" customHeight="1">
      <c r="A97" s="5" t="s">
        <v>595</v>
      </c>
      <c r="B97" s="5" t="s">
        <v>687</v>
      </c>
      <c r="D97" s="26" t="s">
        <v>275</v>
      </c>
      <c r="E97" s="90">
        <v>0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6">
        <f t="shared" si="10"/>
        <v>0</v>
      </c>
      <c r="R97" s="39">
        <f t="shared" si="8"/>
        <v>0</v>
      </c>
      <c r="S97" s="35"/>
      <c r="T97" s="40">
        <f t="shared" si="9"/>
        <v>-1</v>
      </c>
    </row>
    <row r="98" spans="1:20" ht="26.25" customHeight="1">
      <c r="D98" s="21" t="s">
        <v>758</v>
      </c>
      <c r="E98" s="91">
        <f>SUM(E30:E97)</f>
        <v>0</v>
      </c>
      <c r="F98" s="91">
        <f t="shared" ref="F98:Q98" si="11">SUM(F30:F97)</f>
        <v>0</v>
      </c>
      <c r="G98" s="91">
        <f t="shared" si="11"/>
        <v>0</v>
      </c>
      <c r="H98" s="91">
        <f t="shared" si="11"/>
        <v>0</v>
      </c>
      <c r="I98" s="91">
        <f t="shared" si="11"/>
        <v>0</v>
      </c>
      <c r="J98" s="91">
        <f t="shared" si="11"/>
        <v>0</v>
      </c>
      <c r="K98" s="91">
        <f t="shared" si="11"/>
        <v>0</v>
      </c>
      <c r="L98" s="91">
        <f t="shared" si="11"/>
        <v>0</v>
      </c>
      <c r="M98" s="91">
        <f t="shared" si="11"/>
        <v>0</v>
      </c>
      <c r="N98" s="91">
        <f t="shared" si="11"/>
        <v>0</v>
      </c>
      <c r="O98" s="91">
        <f t="shared" si="11"/>
        <v>0</v>
      </c>
      <c r="P98" s="91">
        <f t="shared" si="11"/>
        <v>0</v>
      </c>
      <c r="Q98" s="91">
        <f t="shared" si="11"/>
        <v>0</v>
      </c>
      <c r="R98" s="39">
        <f t="shared" si="8"/>
        <v>0</v>
      </c>
      <c r="S98" s="35"/>
      <c r="T98" s="40">
        <f t="shared" si="9"/>
        <v>-1</v>
      </c>
    </row>
    <row r="99" spans="1:20" ht="26.25" customHeight="1">
      <c r="D99" s="21" t="s">
        <v>759</v>
      </c>
      <c r="E99" s="27">
        <f>E14-E25-E27-E98</f>
        <v>0</v>
      </c>
      <c r="F99" s="27">
        <f t="shared" ref="F99:Q99" si="12">F14-F25-F27-F98</f>
        <v>0</v>
      </c>
      <c r="G99" s="27">
        <f t="shared" si="12"/>
        <v>0</v>
      </c>
      <c r="H99" s="27">
        <f t="shared" si="12"/>
        <v>0</v>
      </c>
      <c r="I99" s="27">
        <f t="shared" si="12"/>
        <v>0</v>
      </c>
      <c r="J99" s="27">
        <f t="shared" si="12"/>
        <v>0</v>
      </c>
      <c r="K99" s="27">
        <f t="shared" si="12"/>
        <v>0</v>
      </c>
      <c r="L99" s="27">
        <f t="shared" si="12"/>
        <v>0</v>
      </c>
      <c r="M99" s="27">
        <f t="shared" si="12"/>
        <v>0</v>
      </c>
      <c r="N99" s="27">
        <f t="shared" si="12"/>
        <v>0</v>
      </c>
      <c r="O99" s="27">
        <f t="shared" si="12"/>
        <v>0</v>
      </c>
      <c r="P99" s="27">
        <f t="shared" si="12"/>
        <v>0</v>
      </c>
      <c r="Q99" s="27">
        <f t="shared" si="12"/>
        <v>0</v>
      </c>
      <c r="R99" s="39">
        <f t="shared" si="8"/>
        <v>0</v>
      </c>
      <c r="S99" s="35"/>
      <c r="T99" s="40">
        <f t="shared" si="7"/>
        <v>0</v>
      </c>
    </row>
    <row r="100" spans="1:20" ht="26.25" customHeight="1">
      <c r="A100" s="5" t="s">
        <v>760</v>
      </c>
      <c r="B100" s="5" t="s">
        <v>687</v>
      </c>
      <c r="D100" s="21" t="s">
        <v>353</v>
      </c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S100" s="35"/>
      <c r="T100" s="40"/>
    </row>
    <row r="101" spans="1:20" ht="26.25" customHeight="1"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S101" s="108"/>
      <c r="T101" s="40">
        <f t="shared" si="7"/>
        <v>0</v>
      </c>
    </row>
    <row r="102" spans="1:20" ht="26.25" customHeight="1">
      <c r="D102" s="21" t="s">
        <v>761</v>
      </c>
      <c r="E102" s="67"/>
      <c r="F102" s="99"/>
      <c r="G102" s="67"/>
      <c r="H102" s="100"/>
      <c r="I102" s="67"/>
      <c r="J102" s="99"/>
      <c r="K102" s="67"/>
      <c r="L102" s="102"/>
      <c r="M102" s="67"/>
      <c r="N102" s="99"/>
      <c r="O102" s="103"/>
      <c r="P102" s="103"/>
      <c r="Q102" s="103"/>
      <c r="S102" s="35"/>
      <c r="T102" s="40"/>
    </row>
    <row r="103" spans="1:20" ht="26.25" customHeight="1">
      <c r="D103" s="21" t="s">
        <v>762</v>
      </c>
      <c r="E103" s="67"/>
      <c r="F103" s="99"/>
      <c r="G103" s="67"/>
      <c r="H103" s="100"/>
      <c r="I103" s="67"/>
      <c r="J103" s="99"/>
      <c r="K103" s="67"/>
      <c r="L103" s="102"/>
      <c r="M103" s="67"/>
      <c r="N103" s="99"/>
      <c r="O103" s="103"/>
      <c r="P103" s="103"/>
      <c r="Q103" s="103"/>
      <c r="S103" s="35"/>
      <c r="T103" s="40"/>
    </row>
    <row r="104" spans="1:20" ht="26.25" customHeight="1">
      <c r="A104" s="5" t="s">
        <v>297</v>
      </c>
      <c r="B104" s="5" t="s">
        <v>687</v>
      </c>
      <c r="D104" s="26" t="s">
        <v>763</v>
      </c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6">
        <f>SUM(E104:P104)</f>
        <v>0</v>
      </c>
      <c r="R104" s="39">
        <f>IF($Q$14=0,0,Q104/$Q$14)</f>
        <v>0</v>
      </c>
      <c r="S104" s="35"/>
      <c r="T104" s="40">
        <f>-IF(Q104-S104=0,0,(Q104-S104)/S104)</f>
        <v>0</v>
      </c>
    </row>
    <row r="105" spans="1:20" ht="26.25" customHeight="1">
      <c r="A105" s="5" t="s">
        <v>300</v>
      </c>
      <c r="B105" s="5" t="s">
        <v>687</v>
      </c>
      <c r="D105" s="26" t="s">
        <v>764</v>
      </c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4">
        <f>SUM(E105:P105)</f>
        <v>0</v>
      </c>
      <c r="R105" s="39">
        <f t="shared" ref="R105:R106" si="13">IF($Q$14=0,0,Q105/$Q$14)</f>
        <v>0</v>
      </c>
      <c r="S105" s="35"/>
      <c r="T105" s="40">
        <f t="shared" ref="T105:T137" si="14">-IF(Q105-S105=0,0,(Q105-S105)/S105)</f>
        <v>0</v>
      </c>
    </row>
    <row r="106" spans="1:20" ht="26.25" customHeight="1">
      <c r="D106" s="21" t="s">
        <v>765</v>
      </c>
      <c r="E106" s="92">
        <f>SUM(E104:E105)</f>
        <v>0</v>
      </c>
      <c r="F106" s="92">
        <f t="shared" ref="F106:P106" si="15">SUM(F104:F105)</f>
        <v>0</v>
      </c>
      <c r="G106" s="92">
        <f t="shared" si="15"/>
        <v>0</v>
      </c>
      <c r="H106" s="92">
        <f t="shared" si="15"/>
        <v>0</v>
      </c>
      <c r="I106" s="92">
        <f t="shared" si="15"/>
        <v>0</v>
      </c>
      <c r="J106" s="92">
        <f t="shared" si="15"/>
        <v>0</v>
      </c>
      <c r="K106" s="92">
        <f t="shared" si="15"/>
        <v>0</v>
      </c>
      <c r="L106" s="92">
        <f t="shared" si="15"/>
        <v>0</v>
      </c>
      <c r="M106" s="92">
        <f t="shared" si="15"/>
        <v>0</v>
      </c>
      <c r="N106" s="92">
        <f t="shared" si="15"/>
        <v>0</v>
      </c>
      <c r="O106" s="92">
        <f t="shared" si="15"/>
        <v>0</v>
      </c>
      <c r="P106" s="92">
        <f t="shared" si="15"/>
        <v>0</v>
      </c>
      <c r="Q106" s="92">
        <f t="shared" ref="Q106" si="16">SUM(Q104:Q105)</f>
        <v>0</v>
      </c>
      <c r="R106" s="39">
        <f t="shared" si="13"/>
        <v>0</v>
      </c>
      <c r="S106" s="35"/>
      <c r="T106" s="40">
        <f t="shared" si="14"/>
        <v>0</v>
      </c>
    </row>
    <row r="107" spans="1:20" ht="26.25" customHeight="1"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103"/>
      <c r="S107" s="35"/>
      <c r="T107" s="40"/>
    </row>
    <row r="108" spans="1:20" ht="26.25" customHeight="1">
      <c r="A108" s="5" t="s">
        <v>603</v>
      </c>
      <c r="B108" s="5" t="s">
        <v>687</v>
      </c>
      <c r="D108" s="26" t="s">
        <v>766</v>
      </c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6">
        <f>SUM(E108:P108)</f>
        <v>0</v>
      </c>
      <c r="R108" s="39">
        <f>IF($Q$14=0,0,Q108/$Q$14)</f>
        <v>0</v>
      </c>
      <c r="S108" s="35"/>
      <c r="T108" s="40">
        <f t="shared" si="14"/>
        <v>0</v>
      </c>
    </row>
    <row r="109" spans="1:20" ht="26.25" customHeight="1">
      <c r="A109" s="5" t="s">
        <v>310</v>
      </c>
      <c r="B109" s="5" t="s">
        <v>687</v>
      </c>
      <c r="D109" s="26" t="s">
        <v>767</v>
      </c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6">
        <f t="shared" ref="Q109:Q114" si="17">SUM(E109:P109)</f>
        <v>0</v>
      </c>
      <c r="R109" s="39">
        <f t="shared" ref="R109:R125" si="18">IF($Q$14=0,0,Q109/$Q$14)</f>
        <v>0</v>
      </c>
      <c r="S109" s="35"/>
      <c r="T109" s="40">
        <f t="shared" si="14"/>
        <v>0</v>
      </c>
    </row>
    <row r="110" spans="1:20" ht="26.25" customHeight="1">
      <c r="A110" s="5" t="s">
        <v>604</v>
      </c>
      <c r="B110" s="5" t="s">
        <v>687</v>
      </c>
      <c r="D110" s="26" t="s">
        <v>768</v>
      </c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6">
        <f t="shared" si="17"/>
        <v>0</v>
      </c>
      <c r="R110" s="39">
        <f t="shared" si="18"/>
        <v>0</v>
      </c>
      <c r="S110" s="35"/>
      <c r="T110" s="40"/>
    </row>
    <row r="111" spans="1:20" ht="26.25" customHeight="1">
      <c r="A111" s="5" t="s">
        <v>605</v>
      </c>
      <c r="B111" s="5" t="s">
        <v>687</v>
      </c>
      <c r="D111" s="26" t="s">
        <v>769</v>
      </c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6">
        <f t="shared" ref="Q111:Q112" si="19">SUM(E111:P111)</f>
        <v>0</v>
      </c>
      <c r="R111" s="39">
        <f t="shared" si="18"/>
        <v>0</v>
      </c>
      <c r="S111" s="35"/>
      <c r="T111" s="40">
        <f t="shared" ref="T111:T112" si="20">-IF(Q111-S111=0,0,(Q111-S111)/S111)</f>
        <v>0</v>
      </c>
    </row>
    <row r="112" spans="1:20" ht="26.25" customHeight="1">
      <c r="A112" s="5" t="s">
        <v>606</v>
      </c>
      <c r="B112" s="5" t="s">
        <v>687</v>
      </c>
      <c r="D112" s="26" t="s">
        <v>770</v>
      </c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6">
        <f t="shared" si="19"/>
        <v>0</v>
      </c>
      <c r="R112" s="39">
        <f t="shared" si="18"/>
        <v>0</v>
      </c>
      <c r="S112" s="35"/>
      <c r="T112" s="40">
        <f t="shared" si="20"/>
        <v>0</v>
      </c>
    </row>
    <row r="113" spans="1:20" ht="26.25" customHeight="1">
      <c r="A113" s="5" t="s">
        <v>1066</v>
      </c>
      <c r="B113" s="5" t="s">
        <v>687</v>
      </c>
      <c r="D113" s="26" t="s">
        <v>1136</v>
      </c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6">
        <f t="shared" si="17"/>
        <v>0</v>
      </c>
      <c r="R113" s="39">
        <f t="shared" si="18"/>
        <v>0</v>
      </c>
      <c r="S113" s="35"/>
      <c r="T113" s="40">
        <f t="shared" si="14"/>
        <v>0</v>
      </c>
    </row>
    <row r="114" spans="1:20" ht="26.25" customHeight="1">
      <c r="A114" s="5" t="s">
        <v>1066</v>
      </c>
      <c r="B114" s="5" t="s">
        <v>687</v>
      </c>
      <c r="D114" s="26" t="s">
        <v>1070</v>
      </c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96">
        <f t="shared" si="17"/>
        <v>0</v>
      </c>
      <c r="R114" s="39">
        <f t="shared" si="18"/>
        <v>0</v>
      </c>
      <c r="S114" s="35"/>
      <c r="T114" s="40">
        <f t="shared" si="14"/>
        <v>0</v>
      </c>
    </row>
    <row r="115" spans="1:20" ht="26.25" customHeight="1">
      <c r="D115" s="21" t="s">
        <v>771</v>
      </c>
      <c r="E115" s="92">
        <f>SUM(E108:E114)</f>
        <v>0</v>
      </c>
      <c r="F115" s="92">
        <f t="shared" ref="F115:P115" si="21">SUM(F108:F114)</f>
        <v>0</v>
      </c>
      <c r="G115" s="92">
        <f t="shared" si="21"/>
        <v>0</v>
      </c>
      <c r="H115" s="92">
        <f t="shared" si="21"/>
        <v>0</v>
      </c>
      <c r="I115" s="92">
        <f t="shared" si="21"/>
        <v>0</v>
      </c>
      <c r="J115" s="92">
        <f t="shared" si="21"/>
        <v>0</v>
      </c>
      <c r="K115" s="92">
        <f t="shared" si="21"/>
        <v>0</v>
      </c>
      <c r="L115" s="92">
        <f t="shared" si="21"/>
        <v>0</v>
      </c>
      <c r="M115" s="92">
        <f t="shared" si="21"/>
        <v>0</v>
      </c>
      <c r="N115" s="92">
        <f t="shared" si="21"/>
        <v>0</v>
      </c>
      <c r="O115" s="92">
        <f t="shared" si="21"/>
        <v>0</v>
      </c>
      <c r="P115" s="92">
        <f t="shared" si="21"/>
        <v>0</v>
      </c>
      <c r="Q115" s="92">
        <f t="shared" ref="Q115" si="22">SUM(Q108:Q114)</f>
        <v>0</v>
      </c>
      <c r="R115" s="39">
        <f t="shared" si="18"/>
        <v>0</v>
      </c>
      <c r="S115" s="35"/>
      <c r="T115" s="40">
        <f t="shared" si="14"/>
        <v>0</v>
      </c>
    </row>
    <row r="116" spans="1:20" ht="26.25" customHeight="1">
      <c r="E116" s="67"/>
      <c r="F116" s="99"/>
      <c r="G116" s="67"/>
      <c r="H116" s="67"/>
      <c r="I116" s="67"/>
      <c r="J116" s="99"/>
      <c r="K116" s="67"/>
      <c r="L116" s="102"/>
      <c r="M116" s="67"/>
      <c r="N116" s="99"/>
      <c r="O116" s="103"/>
      <c r="P116" s="103"/>
      <c r="Q116" s="103"/>
      <c r="S116" s="35"/>
      <c r="T116" s="40"/>
    </row>
    <row r="117" spans="1:20" ht="26.25" customHeight="1">
      <c r="A117" s="5" t="s">
        <v>609</v>
      </c>
      <c r="B117" s="5" t="s">
        <v>687</v>
      </c>
      <c r="D117" s="26" t="s">
        <v>772</v>
      </c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6">
        <f>SUM(E117:P117)</f>
        <v>0</v>
      </c>
      <c r="R117" s="39">
        <f t="shared" si="18"/>
        <v>0</v>
      </c>
      <c r="S117" s="35"/>
      <c r="T117" s="40">
        <f t="shared" si="14"/>
        <v>0</v>
      </c>
    </row>
    <row r="118" spans="1:20" ht="26.25" customHeight="1">
      <c r="A118" s="5" t="s">
        <v>610</v>
      </c>
      <c r="B118" s="5" t="s">
        <v>687</v>
      </c>
      <c r="D118" s="26" t="s">
        <v>773</v>
      </c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6">
        <f t="shared" ref="Q118:Q123" si="23">SUM(E118:P118)</f>
        <v>0</v>
      </c>
      <c r="R118" s="39">
        <f t="shared" si="18"/>
        <v>0</v>
      </c>
      <c r="S118" s="35"/>
      <c r="T118" s="40">
        <f t="shared" si="14"/>
        <v>0</v>
      </c>
    </row>
    <row r="119" spans="1:20" ht="26.25" customHeight="1">
      <c r="A119" s="5" t="s">
        <v>611</v>
      </c>
      <c r="B119" s="5" t="s">
        <v>687</v>
      </c>
      <c r="D119" s="26" t="s">
        <v>774</v>
      </c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6">
        <f t="shared" si="23"/>
        <v>0</v>
      </c>
      <c r="R119" s="39">
        <f t="shared" si="18"/>
        <v>0</v>
      </c>
      <c r="S119" s="35"/>
      <c r="T119" s="40">
        <f t="shared" si="14"/>
        <v>0</v>
      </c>
    </row>
    <row r="120" spans="1:20" ht="26.25" customHeight="1">
      <c r="A120" s="5" t="s">
        <v>612</v>
      </c>
      <c r="B120" s="5" t="s">
        <v>687</v>
      </c>
      <c r="D120" s="26" t="s">
        <v>775</v>
      </c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6">
        <f t="shared" si="23"/>
        <v>0</v>
      </c>
      <c r="R120" s="39">
        <f t="shared" si="18"/>
        <v>0</v>
      </c>
      <c r="S120" s="35"/>
      <c r="T120" s="40">
        <f t="shared" si="14"/>
        <v>0</v>
      </c>
    </row>
    <row r="121" spans="1:20" ht="26.25" customHeight="1">
      <c r="A121" s="5" t="s">
        <v>613</v>
      </c>
      <c r="B121" s="5" t="s">
        <v>687</v>
      </c>
      <c r="D121" s="26" t="s">
        <v>776</v>
      </c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6">
        <f t="shared" si="23"/>
        <v>0</v>
      </c>
      <c r="R121" s="39">
        <f t="shared" si="18"/>
        <v>0</v>
      </c>
      <c r="S121" s="35"/>
      <c r="T121" s="40">
        <f t="shared" si="14"/>
        <v>0</v>
      </c>
    </row>
    <row r="122" spans="1:20" ht="26.25" customHeight="1">
      <c r="A122" s="5" t="s">
        <v>614</v>
      </c>
      <c r="B122" s="5" t="s">
        <v>687</v>
      </c>
      <c r="D122" s="26" t="s">
        <v>777</v>
      </c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6">
        <f t="shared" si="23"/>
        <v>0</v>
      </c>
      <c r="R122" s="39">
        <f t="shared" si="18"/>
        <v>0</v>
      </c>
      <c r="S122" s="35"/>
      <c r="T122" s="40">
        <f t="shared" si="14"/>
        <v>0</v>
      </c>
    </row>
    <row r="123" spans="1:20" ht="26.25" customHeight="1">
      <c r="A123" s="5" t="s">
        <v>615</v>
      </c>
      <c r="B123" s="5" t="s">
        <v>687</v>
      </c>
      <c r="D123" s="26" t="s">
        <v>778</v>
      </c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6">
        <f t="shared" si="23"/>
        <v>0</v>
      </c>
      <c r="R123" s="39">
        <f t="shared" si="18"/>
        <v>0</v>
      </c>
      <c r="S123" s="35"/>
      <c r="T123" s="40">
        <f t="shared" si="14"/>
        <v>0</v>
      </c>
    </row>
    <row r="124" spans="1:20" ht="26.25" customHeight="1">
      <c r="A124" s="5" t="s">
        <v>616</v>
      </c>
      <c r="B124" s="5" t="s">
        <v>687</v>
      </c>
      <c r="D124" s="26" t="s">
        <v>779</v>
      </c>
      <c r="E124" s="101">
        <v>0</v>
      </c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4">
        <f t="shared" ref="Q124" si="24">SUM(E124:P124)</f>
        <v>0</v>
      </c>
      <c r="R124" s="39">
        <f t="shared" si="18"/>
        <v>0</v>
      </c>
      <c r="S124" s="35"/>
      <c r="T124" s="40">
        <f t="shared" si="14"/>
        <v>0</v>
      </c>
    </row>
    <row r="125" spans="1:20" ht="26.25" customHeight="1">
      <c r="D125" s="21" t="s">
        <v>780</v>
      </c>
      <c r="E125" s="92">
        <f>SUM(E117:E124)</f>
        <v>0</v>
      </c>
      <c r="F125" s="92">
        <f t="shared" ref="F125:P125" si="25">SUM(F117:F124)</f>
        <v>0</v>
      </c>
      <c r="G125" s="92">
        <f t="shared" si="25"/>
        <v>0</v>
      </c>
      <c r="H125" s="92">
        <f t="shared" si="25"/>
        <v>0</v>
      </c>
      <c r="I125" s="92">
        <f t="shared" si="25"/>
        <v>0</v>
      </c>
      <c r="J125" s="92">
        <f t="shared" si="25"/>
        <v>0</v>
      </c>
      <c r="K125" s="92">
        <f t="shared" si="25"/>
        <v>0</v>
      </c>
      <c r="L125" s="92">
        <f t="shared" si="25"/>
        <v>0</v>
      </c>
      <c r="M125" s="92">
        <f t="shared" si="25"/>
        <v>0</v>
      </c>
      <c r="N125" s="92">
        <f t="shared" si="25"/>
        <v>0</v>
      </c>
      <c r="O125" s="92">
        <f t="shared" si="25"/>
        <v>0</v>
      </c>
      <c r="P125" s="92">
        <f t="shared" si="25"/>
        <v>0</v>
      </c>
      <c r="Q125" s="92">
        <f t="shared" ref="Q125" si="26">SUM(Q117:Q124)</f>
        <v>0</v>
      </c>
      <c r="R125" s="39">
        <f t="shared" si="18"/>
        <v>0</v>
      </c>
      <c r="S125" s="35"/>
      <c r="T125" s="40">
        <f t="shared" si="14"/>
        <v>0</v>
      </c>
    </row>
    <row r="126" spans="1:20" ht="26.25" customHeight="1">
      <c r="E126" s="67"/>
      <c r="F126" s="99"/>
      <c r="G126" s="67"/>
      <c r="H126" s="67"/>
      <c r="I126" s="67"/>
      <c r="J126" s="99"/>
      <c r="K126" s="67"/>
      <c r="L126" s="102"/>
      <c r="M126" s="67"/>
      <c r="N126" s="99"/>
      <c r="O126" s="103"/>
      <c r="P126" s="103"/>
      <c r="Q126" s="103"/>
      <c r="S126" s="35"/>
      <c r="T126" s="40"/>
    </row>
    <row r="127" spans="1:20" ht="26.25" hidden="1" customHeight="1">
      <c r="A127" s="5" t="s">
        <v>617</v>
      </c>
      <c r="B127" s="5" t="s">
        <v>687</v>
      </c>
      <c r="D127" s="26" t="s">
        <v>781</v>
      </c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6">
        <f>SUM(E127:P127)</f>
        <v>0</v>
      </c>
      <c r="R127" s="39">
        <f t="shared" ref="R127:R130" si="27">IF($Q$14=0,0,Q127/$Q$14)</f>
        <v>0</v>
      </c>
      <c r="S127" s="35"/>
      <c r="T127" s="40">
        <f t="shared" si="14"/>
        <v>0</v>
      </c>
    </row>
    <row r="128" spans="1:20" ht="26.25" hidden="1" customHeight="1">
      <c r="A128" s="5" t="s">
        <v>618</v>
      </c>
      <c r="B128" s="5" t="s">
        <v>687</v>
      </c>
      <c r="D128" s="26" t="s">
        <v>782</v>
      </c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6">
        <f t="shared" ref="Q128:Q133" si="28">SUM(E128:P128)</f>
        <v>0</v>
      </c>
      <c r="R128" s="39">
        <f t="shared" si="27"/>
        <v>0</v>
      </c>
      <c r="S128" s="35"/>
      <c r="T128" s="40">
        <f t="shared" si="14"/>
        <v>0</v>
      </c>
    </row>
    <row r="129" spans="1:20" ht="26.25" hidden="1" customHeight="1">
      <c r="A129" s="5" t="s">
        <v>619</v>
      </c>
      <c r="B129" s="5" t="s">
        <v>687</v>
      </c>
      <c r="D129" s="26" t="s">
        <v>783</v>
      </c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6">
        <f t="shared" si="28"/>
        <v>0</v>
      </c>
      <c r="R129" s="39">
        <f t="shared" si="27"/>
        <v>0</v>
      </c>
      <c r="S129" s="35"/>
      <c r="T129" s="40">
        <f t="shared" si="14"/>
        <v>0</v>
      </c>
    </row>
    <row r="130" spans="1:20" ht="26.25" hidden="1" customHeight="1">
      <c r="A130" s="5" t="s">
        <v>620</v>
      </c>
      <c r="B130" s="5" t="s">
        <v>687</v>
      </c>
      <c r="D130" s="26" t="s">
        <v>784</v>
      </c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6">
        <f t="shared" si="28"/>
        <v>0</v>
      </c>
      <c r="R130" s="39">
        <f t="shared" si="27"/>
        <v>0</v>
      </c>
      <c r="S130" s="35"/>
      <c r="T130" s="40">
        <f t="shared" si="14"/>
        <v>0</v>
      </c>
    </row>
    <row r="131" spans="1:20" ht="26.25" hidden="1" customHeight="1">
      <c r="A131" s="5" t="s">
        <v>621</v>
      </c>
      <c r="B131" s="5" t="s">
        <v>687</v>
      </c>
      <c r="D131" s="26" t="s">
        <v>785</v>
      </c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6">
        <f t="shared" si="28"/>
        <v>0</v>
      </c>
      <c r="R131" s="39">
        <f t="shared" ref="R131:R135" si="29">IF($Q$14=0,0,Q131/$Q$14)</f>
        <v>0</v>
      </c>
      <c r="S131" s="35"/>
      <c r="T131" s="40">
        <f t="shared" si="14"/>
        <v>0</v>
      </c>
    </row>
    <row r="132" spans="1:20" ht="26.25" hidden="1" customHeight="1">
      <c r="A132" s="5" t="s">
        <v>346</v>
      </c>
      <c r="B132" s="5" t="s">
        <v>687</v>
      </c>
      <c r="D132" s="26" t="s">
        <v>786</v>
      </c>
      <c r="E132" s="90"/>
      <c r="F132" s="90"/>
      <c r="G132" s="90"/>
      <c r="H132" s="90"/>
      <c r="I132" s="90">
        <v>0</v>
      </c>
      <c r="J132" s="90"/>
      <c r="K132" s="90"/>
      <c r="L132" s="90"/>
      <c r="M132" s="90"/>
      <c r="N132" s="90"/>
      <c r="O132" s="90"/>
      <c r="P132" s="90"/>
      <c r="Q132" s="96">
        <f t="shared" si="28"/>
        <v>0</v>
      </c>
      <c r="R132" s="39">
        <f t="shared" si="29"/>
        <v>0</v>
      </c>
      <c r="S132" s="35"/>
      <c r="T132" s="40"/>
    </row>
    <row r="133" spans="1:20" ht="26.25" customHeight="1">
      <c r="A133" s="5" t="s">
        <v>624</v>
      </c>
      <c r="B133" s="5" t="s">
        <v>687</v>
      </c>
      <c r="D133" s="26" t="s">
        <v>787</v>
      </c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104">
        <f t="shared" si="28"/>
        <v>0</v>
      </c>
      <c r="R133" s="39">
        <f t="shared" si="29"/>
        <v>0</v>
      </c>
      <c r="S133" s="35"/>
      <c r="T133" s="40">
        <f t="shared" si="14"/>
        <v>0</v>
      </c>
    </row>
    <row r="134" spans="1:20" ht="26.25" customHeight="1">
      <c r="D134" s="26" t="s">
        <v>788</v>
      </c>
      <c r="E134" s="112">
        <f>SUM(E127:E133)</f>
        <v>0</v>
      </c>
      <c r="F134" s="112">
        <f t="shared" ref="F134:Q134" si="30">SUM(F127:F133)</f>
        <v>0</v>
      </c>
      <c r="G134" s="112">
        <f t="shared" si="30"/>
        <v>0</v>
      </c>
      <c r="H134" s="112">
        <f t="shared" si="30"/>
        <v>0</v>
      </c>
      <c r="I134" s="112">
        <f t="shared" si="30"/>
        <v>0</v>
      </c>
      <c r="J134" s="112">
        <f t="shared" si="30"/>
        <v>0</v>
      </c>
      <c r="K134" s="112">
        <f t="shared" si="30"/>
        <v>0</v>
      </c>
      <c r="L134" s="112">
        <f t="shared" si="30"/>
        <v>0</v>
      </c>
      <c r="M134" s="112">
        <f t="shared" si="30"/>
        <v>0</v>
      </c>
      <c r="N134" s="112">
        <f t="shared" si="30"/>
        <v>0</v>
      </c>
      <c r="O134" s="112">
        <f t="shared" si="30"/>
        <v>0</v>
      </c>
      <c r="P134" s="112">
        <f t="shared" si="30"/>
        <v>0</v>
      </c>
      <c r="Q134" s="101">
        <f t="shared" si="30"/>
        <v>0</v>
      </c>
      <c r="R134" s="39">
        <f t="shared" si="29"/>
        <v>0</v>
      </c>
      <c r="S134" s="35"/>
      <c r="T134" s="40">
        <f t="shared" si="14"/>
        <v>0</v>
      </c>
    </row>
    <row r="135" spans="1:20" ht="26.25" customHeight="1">
      <c r="D135" s="21" t="s">
        <v>789</v>
      </c>
      <c r="E135" s="92">
        <f>E106+E115+E125+E134</f>
        <v>0</v>
      </c>
      <c r="F135" s="92">
        <f t="shared" ref="F135:P135" si="31">F106+F115+F125+F134</f>
        <v>0</v>
      </c>
      <c r="G135" s="92">
        <f t="shared" si="31"/>
        <v>0</v>
      </c>
      <c r="H135" s="92">
        <f t="shared" si="31"/>
        <v>0</v>
      </c>
      <c r="I135" s="92">
        <f t="shared" si="31"/>
        <v>0</v>
      </c>
      <c r="J135" s="92">
        <f t="shared" si="31"/>
        <v>0</v>
      </c>
      <c r="K135" s="92">
        <f t="shared" si="31"/>
        <v>0</v>
      </c>
      <c r="L135" s="92">
        <f t="shared" si="31"/>
        <v>0</v>
      </c>
      <c r="M135" s="92">
        <f t="shared" si="31"/>
        <v>0</v>
      </c>
      <c r="N135" s="92">
        <f t="shared" si="31"/>
        <v>0</v>
      </c>
      <c r="O135" s="92">
        <f t="shared" si="31"/>
        <v>0</v>
      </c>
      <c r="P135" s="92">
        <f t="shared" si="31"/>
        <v>0</v>
      </c>
      <c r="Q135" s="92">
        <f t="shared" ref="Q135" si="32">Q106+Q115+Q125+Q134</f>
        <v>0</v>
      </c>
      <c r="R135" s="39">
        <f t="shared" si="29"/>
        <v>0</v>
      </c>
      <c r="S135" s="35"/>
      <c r="T135" s="40">
        <f t="shared" si="14"/>
        <v>0</v>
      </c>
    </row>
    <row r="136" spans="1:20" ht="26.25" customHeight="1">
      <c r="D136" s="21"/>
      <c r="E136" s="67"/>
      <c r="F136" s="99"/>
      <c r="G136" s="67"/>
      <c r="H136" s="67"/>
      <c r="I136" s="67"/>
      <c r="J136" s="99"/>
      <c r="K136" s="67"/>
      <c r="L136" s="102"/>
      <c r="M136" s="67"/>
      <c r="N136" s="99"/>
      <c r="O136" s="103"/>
      <c r="P136" s="103"/>
      <c r="Q136" s="136">
        <f>Q135-Q113</f>
        <v>0</v>
      </c>
      <c r="S136" s="35"/>
      <c r="T136" s="40"/>
    </row>
    <row r="137" spans="1:20" ht="26.25" customHeight="1">
      <c r="A137" s="5" t="s">
        <v>108</v>
      </c>
      <c r="B137" s="5" t="s">
        <v>687</v>
      </c>
      <c r="D137" s="21" t="s">
        <v>808</v>
      </c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>
        <f>SUM(E137:P137)/12</f>
        <v>0</v>
      </c>
      <c r="S137" s="35"/>
      <c r="T137" s="40">
        <f t="shared" si="14"/>
        <v>0</v>
      </c>
    </row>
    <row r="138" spans="1:20" ht="26.25" customHeight="1">
      <c r="H138" s="7"/>
    </row>
    <row r="139" spans="1:20" ht="26.25" customHeight="1">
      <c r="H139" s="7"/>
    </row>
    <row r="140" spans="1:20" ht="26.25" customHeight="1">
      <c r="H140" s="7"/>
    </row>
  </sheetData>
  <phoneticPr fontId="56" type="noConversion"/>
  <dataValidations count="23">
    <dataValidation type="textLength" errorStyle="information" allowBlank="1" showInputMessage="1" showErrorMessage="1" error="XLBVal:6=24.37_x000d__x000a_" sqref="E12:P12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4818.27_x000d__x000a_" sqref="G100">
      <formula1>0</formula1>
      <formula2>300</formula2>
    </dataValidation>
    <dataValidation type="textLength" errorStyle="information" allowBlank="1" showInputMessage="1" showErrorMessage="1" error="XLBVal:6=15115.28_x000d__x000a_" sqref="F100">
      <formula1>0</formula1>
      <formula2>300</formula2>
    </dataValidation>
    <dataValidation type="textLength" errorStyle="information" allowBlank="1" showInputMessage="1" showErrorMessage="1" error="XLBVal:6=404240.2_x000d__x000a_" sqref="Q100">
      <formula1>0</formula1>
      <formula2>300</formula2>
    </dataValidation>
    <dataValidation type="textLength" errorStyle="information" allowBlank="1" showInputMessage="1" showErrorMessage="1" error="XLBVal:2=0_x000d__x000a_" sqref="Q12 E13:Q13 E123:P125 Q17:Q98 Q108:Q114 Q127:Q133 E16:P24 Q117:Q125 E104:Q105 E127:P132 E30:P98">
      <formula1>0</formula1>
      <formula2>300</formula2>
    </dataValidation>
    <dataValidation type="textLength" errorStyle="information" allowBlank="1" showInputMessage="1" showErrorMessage="1" error="XLBVal:6=28280_x000d__x000a_" sqref="Q16">
      <formula1>0</formula1>
      <formula2>300</formula2>
    </dataValidation>
    <dataValidation type="textLength" errorStyle="information" allowBlank="1" showInputMessage="1" showErrorMessage="1" error="XLBVal:6=11728.43_x000d__x000a_" sqref="E27:P27">
      <formula1>0</formula1>
      <formula2>300</formula2>
    </dataValidation>
    <dataValidation type="textLength" errorStyle="information" allowBlank="1" showInputMessage="1" showErrorMessage="1" error="XLBVal:6=11704.06_x000d__x000a_" sqref="E100">
      <formula1>0</formula1>
      <formula2>300</formula2>
    </dataValidation>
    <dataValidation type="textLength" errorStyle="information" allowBlank="1" showInputMessage="1" showErrorMessage="1" error="XLBVal:6=18590.22_x000d__x000a_" sqref="H100">
      <formula1>0</formula1>
      <formula2>300</formula2>
    </dataValidation>
    <dataValidation type="textLength" errorStyle="information" allowBlank="1" showInputMessage="1" showErrorMessage="1" error="XLBVal:6=34671.22_x000d__x000a_" sqref="M100">
      <formula1>0</formula1>
      <formula2>300</formula2>
    </dataValidation>
    <dataValidation type="textLength" errorStyle="information" allowBlank="1" showInputMessage="1" showErrorMessage="1" error="XLBVal:6=25173.24_x000d__x000a_" sqref="I100">
      <formula1>0</formula1>
      <formula2>300</formula2>
    </dataValidation>
    <dataValidation type="textLength" errorStyle="information" allowBlank="1" showInputMessage="1" showErrorMessage="1" error="XLBVal:6=27582.86_x000d__x000a_" sqref="J100">
      <formula1>0</formula1>
      <formula2>300</formula2>
    </dataValidation>
    <dataValidation type="textLength" errorStyle="information" allowBlank="1" showInputMessage="1" showErrorMessage="1" error="XLBVal:6=29247.01_x000d__x000a_" sqref="K100">
      <formula1>0</formula1>
      <formula2>300</formula2>
    </dataValidation>
    <dataValidation type="textLength" errorStyle="information" allowBlank="1" showInputMessage="1" showErrorMessage="1" error="XLBVal:6=33126.59_x000d__x000a_" sqref="O100:P100">
      <formula1>0</formula1>
      <formula2>300</formula2>
    </dataValidation>
    <dataValidation type="textLength" errorStyle="information" allowBlank="1" showInputMessage="1" showErrorMessage="1" error="XLBVal:6=25316.32_x000d__x000a_" sqref="L100">
      <formula1>0</formula1>
      <formula2>300</formula2>
    </dataValidation>
    <dataValidation type="textLength" errorStyle="information" allowBlank="1" showInputMessage="1" showErrorMessage="1" error="XLBVal:6=34126.59_x000d__x000a_" sqref="N100">
      <formula1>0</formula1>
      <formula2>300</formula2>
    </dataValidation>
    <dataValidation type="textLength" errorStyle="information" allowBlank="1" showInputMessage="1" showErrorMessage="1" error="XLBVal:6=800_x000d__x000a_" sqref="E108:P114">
      <formula1>0</formula1>
      <formula2>300</formula2>
    </dataValidation>
    <dataValidation type="textLength" errorStyle="information" allowBlank="1" showInputMessage="1" showErrorMessage="1" error="XLBVal:6=3074.84_x000d__x000a_" sqref="E133:P133">
      <formula1>0</formula1>
      <formula2>300</formula2>
    </dataValidation>
    <dataValidation type="textLength" errorStyle="information" allowBlank="1" showInputMessage="1" showErrorMessage="1" error="XLBVal:6=5_x000d__x000a_" sqref="E137:Q137">
      <formula1>0</formula1>
      <formula2>300</formula2>
    </dataValidation>
    <dataValidation type="textLength" errorStyle="information" allowBlank="1" showInputMessage="1" showErrorMessage="1" error="XLBVal:6=1910.58_x000d__x000a_" sqref="E117:P122">
      <formula1>0</formula1>
      <formula2>300</formula2>
    </dataValidation>
    <dataValidation type="textLength" errorStyle="information" allowBlank="1" showInputMessage="1" showErrorMessage="1" error="XLBVal:6=6688509.16_x000d__x000a_" sqref="E14:Q15">
      <formula1>0</formula1>
      <formula2>300</formula2>
    </dataValidation>
    <dataValidation type="textLength" errorStyle="information" allowBlank="1" showInputMessage="1" showErrorMessage="1" error="XLBVal:6=3239.86_x000d__x000a_" sqref="E25:P26 E28:P2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2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T139"/>
  <sheetViews>
    <sheetView topLeftCell="D1" zoomScale="50" zoomScaleNormal="50" zoomScaleSheetLayoutView="40" workbookViewId="0">
      <pane ySplit="10" topLeftCell="A11" activePane="bottomLeft" state="frozen"/>
      <selection activeCell="Z105" sqref="Z105"/>
      <selection pane="bottomLeft" activeCell="I142" sqref="I142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67" style="6" customWidth="1" collapsed="1"/>
    <col min="5" max="5" width="26.08984375" style="7" customWidth="1"/>
    <col min="6" max="6" width="26.08984375" style="82" customWidth="1"/>
    <col min="7" max="7" width="26.08984375" style="7" customWidth="1"/>
    <col min="8" max="8" width="26.08984375" style="6" customWidth="1"/>
    <col min="9" max="9" width="26.08984375" style="7" customWidth="1"/>
    <col min="10" max="10" width="26.08984375" style="82" customWidth="1"/>
    <col min="11" max="11" width="26.08984375" style="7" customWidth="1"/>
    <col min="12" max="12" width="26.08984375" style="83" customWidth="1"/>
    <col min="13" max="13" width="26.08984375" style="7" customWidth="1"/>
    <col min="14" max="14" width="26.08984375" style="82" customWidth="1"/>
    <col min="15" max="17" width="26.08984375" style="5" customWidth="1"/>
    <col min="18" max="18" width="12.453125" style="5" customWidth="1"/>
    <col min="19" max="19" width="22.453125" style="8" hidden="1" customWidth="1"/>
    <col min="20" max="20" width="22.453125" style="5" hidden="1" customWidth="1"/>
    <col min="21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5.4" customHeight="1">
      <c r="D6" s="14" t="s">
        <v>814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3" t="s">
        <v>815</v>
      </c>
      <c r="B12" s="3" t="s">
        <v>701</v>
      </c>
      <c r="C12" s="3" t="s">
        <v>816</v>
      </c>
      <c r="D12" s="3" t="s">
        <v>817</v>
      </c>
      <c r="E12" s="27">
        <v>4500</v>
      </c>
      <c r="F12" s="27">
        <v>4000</v>
      </c>
      <c r="G12" s="27">
        <v>4000</v>
      </c>
      <c r="H12" s="27">
        <v>4000</v>
      </c>
      <c r="I12" s="27">
        <v>4500</v>
      </c>
      <c r="J12" s="27">
        <v>4000</v>
      </c>
      <c r="K12" s="27">
        <v>4000</v>
      </c>
      <c r="L12" s="27">
        <v>4000</v>
      </c>
      <c r="M12" s="27">
        <v>4000</v>
      </c>
      <c r="N12" s="27">
        <v>4500</v>
      </c>
      <c r="O12" s="27">
        <v>4000</v>
      </c>
      <c r="P12" s="27">
        <v>4000</v>
      </c>
      <c r="Q12" s="27">
        <f t="shared" ref="Q12:Q17" si="0">SUM(E12:P12)</f>
        <v>49500</v>
      </c>
      <c r="S12" s="35"/>
      <c r="T12" s="40" t="e">
        <f>IF(Q12-S12=0,0,(Q12-S12)/S12)</f>
        <v>#DIV/0!</v>
      </c>
    </row>
    <row r="13" spans="1:20" s="3" customFormat="1" ht="25.4" customHeight="1">
      <c r="A13" s="3" t="s">
        <v>700</v>
      </c>
      <c r="B13" s="3" t="s">
        <v>701</v>
      </c>
      <c r="D13" s="26" t="s">
        <v>818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>
        <f t="shared" si="0"/>
        <v>0</v>
      </c>
      <c r="S13" s="35"/>
      <c r="T13" s="40">
        <f t="shared" ref="T13:T76" si="1">IF(Q13-S13=0,0,(Q13-S13)/S13)</f>
        <v>0</v>
      </c>
    </row>
    <row r="14" spans="1:20" s="3" customFormat="1" ht="25.4" customHeight="1">
      <c r="A14" s="3" t="s">
        <v>815</v>
      </c>
      <c r="B14" s="3" t="s">
        <v>701</v>
      </c>
      <c r="C14" s="3" t="s">
        <v>819</v>
      </c>
      <c r="D14" s="26" t="s">
        <v>820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>
        <f t="shared" si="0"/>
        <v>0</v>
      </c>
      <c r="S14" s="35"/>
      <c r="T14" s="40">
        <f t="shared" si="1"/>
        <v>0</v>
      </c>
    </row>
    <row r="15" spans="1:20" s="3" customFormat="1" ht="25.4" customHeight="1">
      <c r="A15" s="3" t="s">
        <v>815</v>
      </c>
      <c r="B15" s="3" t="s">
        <v>701</v>
      </c>
      <c r="C15" s="3" t="s">
        <v>821</v>
      </c>
      <c r="D15" s="26" t="s">
        <v>822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>
        <f t="shared" si="0"/>
        <v>0</v>
      </c>
      <c r="S15" s="35"/>
      <c r="T15" s="40">
        <f t="shared" si="1"/>
        <v>0</v>
      </c>
    </row>
    <row r="16" spans="1:20" s="3" customFormat="1" ht="25.4" customHeight="1">
      <c r="A16" s="3" t="s">
        <v>815</v>
      </c>
      <c r="B16" s="3" t="s">
        <v>701</v>
      </c>
      <c r="C16" s="3" t="s">
        <v>823</v>
      </c>
      <c r="D16" s="72" t="s">
        <v>824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>
        <f t="shared" si="0"/>
        <v>0</v>
      </c>
      <c r="S16" s="35"/>
      <c r="T16" s="40">
        <f t="shared" si="1"/>
        <v>0</v>
      </c>
    </row>
    <row r="17" spans="1:20" s="3" customFormat="1" ht="25.4" customHeight="1">
      <c r="A17" s="3" t="s">
        <v>815</v>
      </c>
      <c r="B17" s="3" t="s">
        <v>701</v>
      </c>
      <c r="C17" s="3" t="s">
        <v>825</v>
      </c>
      <c r="D17" s="26" t="s">
        <v>746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>
        <f t="shared" si="0"/>
        <v>0</v>
      </c>
      <c r="S17" s="35"/>
      <c r="T17" s="40">
        <f t="shared" si="1"/>
        <v>0</v>
      </c>
    </row>
    <row r="18" spans="1:20" s="3" customFormat="1" ht="25.4" customHeight="1">
      <c r="D18" s="21" t="s">
        <v>655</v>
      </c>
      <c r="E18" s="30">
        <f t="shared" ref="E18:Q18" si="2">SUM(E12:E17)</f>
        <v>4500</v>
      </c>
      <c r="F18" s="30">
        <f t="shared" si="2"/>
        <v>4000</v>
      </c>
      <c r="G18" s="30">
        <f t="shared" si="2"/>
        <v>4000</v>
      </c>
      <c r="H18" s="30">
        <f t="shared" si="2"/>
        <v>4000</v>
      </c>
      <c r="I18" s="30">
        <f t="shared" si="2"/>
        <v>4500</v>
      </c>
      <c r="J18" s="30">
        <f t="shared" si="2"/>
        <v>4000</v>
      </c>
      <c r="K18" s="30">
        <f t="shared" si="2"/>
        <v>4000</v>
      </c>
      <c r="L18" s="30">
        <f t="shared" si="2"/>
        <v>4000</v>
      </c>
      <c r="M18" s="30">
        <f t="shared" si="2"/>
        <v>4000</v>
      </c>
      <c r="N18" s="30">
        <f t="shared" si="2"/>
        <v>4500</v>
      </c>
      <c r="O18" s="30">
        <f t="shared" si="2"/>
        <v>4000</v>
      </c>
      <c r="P18" s="30">
        <f t="shared" si="2"/>
        <v>4000</v>
      </c>
      <c r="Q18" s="30">
        <f t="shared" si="2"/>
        <v>49500</v>
      </c>
      <c r="S18" s="35"/>
      <c r="T18" s="40"/>
    </row>
    <row r="19" spans="1:20" s="3" customFormat="1" ht="25.4" customHeight="1">
      <c r="D19" s="21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S19" s="35"/>
      <c r="T19" s="40"/>
    </row>
    <row r="20" spans="1:20" s="3" customFormat="1" ht="25.4" customHeight="1">
      <c r="D20" s="21" t="s">
        <v>411</v>
      </c>
      <c r="E20" s="27"/>
      <c r="F20" s="89"/>
      <c r="G20" s="27"/>
      <c r="H20" s="89"/>
      <c r="I20" s="27"/>
      <c r="J20" s="89"/>
      <c r="K20" s="27"/>
      <c r="L20" s="89"/>
      <c r="M20" s="27"/>
      <c r="N20" s="89"/>
      <c r="O20" s="96"/>
      <c r="P20" s="96"/>
      <c r="Q20" s="96"/>
      <c r="S20" s="35"/>
      <c r="T20" s="40">
        <f t="shared" si="1"/>
        <v>0</v>
      </c>
    </row>
    <row r="21" spans="1:20" s="3" customFormat="1" ht="25.4" hidden="1" customHeight="1">
      <c r="A21" s="3" t="s">
        <v>749</v>
      </c>
      <c r="B21" s="3" t="s">
        <v>701</v>
      </c>
      <c r="C21" s="3" t="s">
        <v>816</v>
      </c>
      <c r="D21" s="26" t="s">
        <v>817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96">
        <f t="shared" ref="Q21:Q27" si="3">SUM(E21:P21)</f>
        <v>0</v>
      </c>
      <c r="S21" s="35"/>
      <c r="T21" s="40">
        <f>-IF(Q21-S21=0,0,(Q21-S21)/S21)</f>
        <v>0</v>
      </c>
    </row>
    <row r="22" spans="1:20" s="3" customFormat="1" ht="25.4" customHeight="1">
      <c r="A22" s="3" t="s">
        <v>749</v>
      </c>
      <c r="B22" s="3" t="s">
        <v>701</v>
      </c>
      <c r="D22" s="26" t="s">
        <v>818</v>
      </c>
      <c r="E22" s="90">
        <f>E12*40%</f>
        <v>1800</v>
      </c>
      <c r="F22" s="90">
        <f t="shared" ref="F22:P22" si="4">F12*40%</f>
        <v>1600</v>
      </c>
      <c r="G22" s="90">
        <f t="shared" si="4"/>
        <v>1600</v>
      </c>
      <c r="H22" s="90">
        <f t="shared" si="4"/>
        <v>1600</v>
      </c>
      <c r="I22" s="90">
        <f t="shared" si="4"/>
        <v>1800</v>
      </c>
      <c r="J22" s="90">
        <f t="shared" si="4"/>
        <v>1600</v>
      </c>
      <c r="K22" s="90">
        <f t="shared" si="4"/>
        <v>1600</v>
      </c>
      <c r="L22" s="90">
        <f t="shared" si="4"/>
        <v>1600</v>
      </c>
      <c r="M22" s="90">
        <f t="shared" si="4"/>
        <v>1600</v>
      </c>
      <c r="N22" s="90">
        <f t="shared" si="4"/>
        <v>1800</v>
      </c>
      <c r="O22" s="90">
        <f t="shared" si="4"/>
        <v>1600</v>
      </c>
      <c r="P22" s="90">
        <f t="shared" si="4"/>
        <v>1600</v>
      </c>
      <c r="Q22" s="96">
        <f t="shared" si="3"/>
        <v>19800</v>
      </c>
      <c r="S22" s="35"/>
      <c r="T22" s="40" t="e">
        <f t="shared" ref="T22:T26" si="5">-IF(Q22-S22=0,0,(Q22-S22)/S22)</f>
        <v>#DIV/0!</v>
      </c>
    </row>
    <row r="23" spans="1:20" s="3" customFormat="1" ht="25.4" customHeight="1">
      <c r="A23" s="3" t="s">
        <v>749</v>
      </c>
      <c r="B23" s="3" t="s">
        <v>701</v>
      </c>
      <c r="C23" s="3" t="s">
        <v>819</v>
      </c>
      <c r="D23" s="26" t="s">
        <v>820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96">
        <f t="shared" si="3"/>
        <v>0</v>
      </c>
      <c r="S23" s="35"/>
      <c r="T23" s="40">
        <f t="shared" si="5"/>
        <v>0</v>
      </c>
    </row>
    <row r="24" spans="1:20" s="3" customFormat="1" ht="25.4" customHeight="1">
      <c r="A24" s="3" t="s">
        <v>749</v>
      </c>
      <c r="B24" s="3" t="s">
        <v>701</v>
      </c>
      <c r="C24" s="3" t="s">
        <v>821</v>
      </c>
      <c r="D24" s="72" t="s">
        <v>822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96">
        <f t="shared" si="3"/>
        <v>0</v>
      </c>
      <c r="S24" s="35"/>
      <c r="T24" s="40">
        <f t="shared" si="5"/>
        <v>0</v>
      </c>
    </row>
    <row r="25" spans="1:20" s="3" customFormat="1" ht="25.4" customHeight="1">
      <c r="A25" s="3" t="s">
        <v>749</v>
      </c>
      <c r="B25" s="3" t="s">
        <v>701</v>
      </c>
      <c r="C25" s="3" t="s">
        <v>823</v>
      </c>
      <c r="D25" s="26" t="s">
        <v>753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96">
        <f t="shared" si="3"/>
        <v>0</v>
      </c>
      <c r="S25" s="35"/>
      <c r="T25" s="40">
        <f t="shared" si="5"/>
        <v>0</v>
      </c>
    </row>
    <row r="26" spans="1:20" s="3" customFormat="1" ht="25.4" customHeight="1">
      <c r="A26" s="3" t="s">
        <v>749</v>
      </c>
      <c r="B26" s="3" t="s">
        <v>701</v>
      </c>
      <c r="C26" s="3" t="s">
        <v>825</v>
      </c>
      <c r="D26" s="26" t="s">
        <v>746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96">
        <f t="shared" si="3"/>
        <v>0</v>
      </c>
      <c r="S26" s="35"/>
      <c r="T26" s="40">
        <f t="shared" si="5"/>
        <v>0</v>
      </c>
    </row>
    <row r="27" spans="1:20" s="19" customFormat="1" ht="25.4" customHeight="1">
      <c r="A27" s="3" t="s">
        <v>807</v>
      </c>
      <c r="B27" s="3" t="s">
        <v>701</v>
      </c>
      <c r="C27" s="3"/>
      <c r="D27" s="21" t="s">
        <v>755</v>
      </c>
      <c r="E27" s="91">
        <f t="shared" ref="E27:P27" si="6">SUM(E21:E26)</f>
        <v>1800</v>
      </c>
      <c r="F27" s="91">
        <f t="shared" si="6"/>
        <v>1600</v>
      </c>
      <c r="G27" s="91">
        <f t="shared" si="6"/>
        <v>1600</v>
      </c>
      <c r="H27" s="91">
        <f t="shared" si="6"/>
        <v>1600</v>
      </c>
      <c r="I27" s="91">
        <f t="shared" si="6"/>
        <v>1800</v>
      </c>
      <c r="J27" s="91">
        <f t="shared" si="6"/>
        <v>1600</v>
      </c>
      <c r="K27" s="91">
        <f t="shared" si="6"/>
        <v>1600</v>
      </c>
      <c r="L27" s="91">
        <f t="shared" si="6"/>
        <v>1600</v>
      </c>
      <c r="M27" s="91">
        <f t="shared" si="6"/>
        <v>1600</v>
      </c>
      <c r="N27" s="91">
        <f t="shared" si="6"/>
        <v>1800</v>
      </c>
      <c r="O27" s="91">
        <f t="shared" si="6"/>
        <v>1600</v>
      </c>
      <c r="P27" s="91">
        <f t="shared" si="6"/>
        <v>1600</v>
      </c>
      <c r="Q27" s="111">
        <f t="shared" si="3"/>
        <v>19800</v>
      </c>
      <c r="R27" s="39">
        <f>Q27/$Q$18</f>
        <v>0.4</v>
      </c>
      <c r="S27" s="35"/>
      <c r="T27" s="40"/>
    </row>
    <row r="28" spans="1:20" s="19" customFormat="1" ht="25.4" customHeight="1">
      <c r="A28" s="3"/>
      <c r="B28" s="3"/>
      <c r="C28" s="3"/>
      <c r="D28" s="21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6"/>
      <c r="R28" s="3"/>
      <c r="S28" s="35"/>
      <c r="T28" s="40">
        <f>-IF(Q28-S28=0,0,(Q28-S28)/S28)</f>
        <v>0</v>
      </c>
    </row>
    <row r="29" spans="1:20" s="19" customFormat="1" ht="25.4" hidden="1" customHeight="1">
      <c r="A29" s="19" t="s">
        <v>466</v>
      </c>
      <c r="B29" s="19" t="s">
        <v>701</v>
      </c>
      <c r="D29" s="19" t="s">
        <v>756</v>
      </c>
      <c r="E29" s="92">
        <f>E137</f>
        <v>0</v>
      </c>
      <c r="F29" s="92">
        <f t="shared" ref="F29:P29" si="7">F137</f>
        <v>0</v>
      </c>
      <c r="G29" s="92">
        <f t="shared" si="7"/>
        <v>0</v>
      </c>
      <c r="H29" s="92">
        <f t="shared" si="7"/>
        <v>0</v>
      </c>
      <c r="I29" s="92">
        <f t="shared" si="7"/>
        <v>0</v>
      </c>
      <c r="J29" s="92">
        <f t="shared" si="7"/>
        <v>0</v>
      </c>
      <c r="K29" s="92">
        <f t="shared" si="7"/>
        <v>0</v>
      </c>
      <c r="L29" s="92">
        <f t="shared" si="7"/>
        <v>0</v>
      </c>
      <c r="M29" s="92">
        <f t="shared" si="7"/>
        <v>0</v>
      </c>
      <c r="N29" s="92">
        <f t="shared" si="7"/>
        <v>0</v>
      </c>
      <c r="O29" s="92">
        <f t="shared" si="7"/>
        <v>0</v>
      </c>
      <c r="P29" s="92">
        <f t="shared" si="7"/>
        <v>0</v>
      </c>
      <c r="Q29" s="96">
        <f>SUM(E29:P29)</f>
        <v>0</v>
      </c>
      <c r="R29" s="39">
        <f>Q29/$Q$18</f>
        <v>0</v>
      </c>
      <c r="S29" s="35"/>
      <c r="T29" s="40"/>
    </row>
    <row r="30" spans="1:20" s="19" customFormat="1" ht="25.4" hidden="1" customHeight="1">
      <c r="D30" s="26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6"/>
      <c r="R30" s="3"/>
      <c r="S30" s="35"/>
      <c r="T30" s="40"/>
    </row>
    <row r="31" spans="1:20" s="19" customFormat="1" ht="25.4" hidden="1" customHeight="1">
      <c r="D31" s="21" t="s">
        <v>757</v>
      </c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6"/>
      <c r="R31" s="3"/>
      <c r="S31" s="35"/>
      <c r="T31" s="40">
        <f t="shared" si="1"/>
        <v>0</v>
      </c>
    </row>
    <row r="32" spans="1:20" s="19" customFormat="1" ht="25.4" hidden="1" customHeight="1">
      <c r="A32" s="19" t="s">
        <v>468</v>
      </c>
      <c r="B32" s="19" t="s">
        <v>701</v>
      </c>
      <c r="D32" s="26" t="s">
        <v>143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6">
        <f>SUM(E32:P32)</f>
        <v>0</v>
      </c>
      <c r="R32" s="3"/>
      <c r="S32" s="35"/>
      <c r="T32" s="40">
        <f t="shared" si="1"/>
        <v>0</v>
      </c>
    </row>
    <row r="33" spans="1:20" s="19" customFormat="1" ht="25.4" hidden="1" customHeight="1">
      <c r="A33" s="19" t="s">
        <v>470</v>
      </c>
      <c r="B33" s="19" t="s">
        <v>701</v>
      </c>
      <c r="D33" s="26" t="s">
        <v>145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6">
        <f t="shared" ref="Q33:Q96" si="8">SUM(E33:P33)</f>
        <v>0</v>
      </c>
      <c r="R33" s="3"/>
      <c r="S33" s="35"/>
      <c r="T33" s="40">
        <f t="shared" si="1"/>
        <v>0</v>
      </c>
    </row>
    <row r="34" spans="1:20" s="19" customFormat="1" ht="25.4" hidden="1" customHeight="1">
      <c r="A34" s="19" t="s">
        <v>472</v>
      </c>
      <c r="B34" s="19" t="s">
        <v>701</v>
      </c>
      <c r="D34" s="26" t="s">
        <v>147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6">
        <f t="shared" si="8"/>
        <v>0</v>
      </c>
      <c r="R34" s="3"/>
      <c r="S34" s="35"/>
      <c r="T34" s="40">
        <f t="shared" si="1"/>
        <v>0</v>
      </c>
    </row>
    <row r="35" spans="1:20" s="19" customFormat="1" ht="25.4" hidden="1" customHeight="1">
      <c r="A35" s="19" t="s">
        <v>474</v>
      </c>
      <c r="B35" s="19" t="s">
        <v>701</v>
      </c>
      <c r="D35" s="26" t="s">
        <v>149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90">
        <v>0</v>
      </c>
      <c r="O35" s="90">
        <v>0</v>
      </c>
      <c r="P35" s="90">
        <v>0</v>
      </c>
      <c r="Q35" s="96">
        <f t="shared" si="8"/>
        <v>0</v>
      </c>
      <c r="R35" s="3"/>
      <c r="S35" s="35"/>
      <c r="T35" s="40">
        <f t="shared" si="1"/>
        <v>0</v>
      </c>
    </row>
    <row r="36" spans="1:20" s="19" customFormat="1" ht="25.4" hidden="1" customHeight="1">
      <c r="A36" s="19" t="s">
        <v>476</v>
      </c>
      <c r="B36" s="19" t="s">
        <v>701</v>
      </c>
      <c r="D36" s="26" t="s">
        <v>151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6">
        <f t="shared" si="8"/>
        <v>0</v>
      </c>
      <c r="R36" s="3"/>
      <c r="S36" s="35"/>
      <c r="T36" s="40">
        <f t="shared" si="1"/>
        <v>0</v>
      </c>
    </row>
    <row r="37" spans="1:20" s="19" customFormat="1" ht="25.4" hidden="1" customHeight="1">
      <c r="A37" s="19" t="s">
        <v>478</v>
      </c>
      <c r="B37" s="19" t="s">
        <v>701</v>
      </c>
      <c r="D37" s="26" t="s">
        <v>153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90">
        <v>0</v>
      </c>
      <c r="O37" s="90">
        <v>0</v>
      </c>
      <c r="P37" s="90">
        <v>0</v>
      </c>
      <c r="Q37" s="96">
        <f t="shared" si="8"/>
        <v>0</v>
      </c>
      <c r="R37" s="3"/>
      <c r="S37" s="35"/>
      <c r="T37" s="40">
        <f t="shared" si="1"/>
        <v>0</v>
      </c>
    </row>
    <row r="38" spans="1:20" s="19" customFormat="1" ht="25.4" hidden="1" customHeight="1">
      <c r="A38" s="19" t="s">
        <v>480</v>
      </c>
      <c r="B38" s="19" t="s">
        <v>701</v>
      </c>
      <c r="D38" s="26" t="s">
        <v>155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6">
        <f t="shared" si="8"/>
        <v>0</v>
      </c>
      <c r="R38" s="3"/>
      <c r="S38" s="35"/>
      <c r="T38" s="40">
        <f t="shared" si="1"/>
        <v>0</v>
      </c>
    </row>
    <row r="39" spans="1:20" s="19" customFormat="1" ht="25.4" hidden="1" customHeight="1">
      <c r="A39" s="19" t="s">
        <v>482</v>
      </c>
      <c r="B39" s="19" t="s">
        <v>701</v>
      </c>
      <c r="D39" s="26" t="s">
        <v>157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6">
        <f t="shared" si="8"/>
        <v>0</v>
      </c>
      <c r="R39" s="3"/>
      <c r="S39" s="35"/>
      <c r="T39" s="40">
        <f t="shared" si="1"/>
        <v>0</v>
      </c>
    </row>
    <row r="40" spans="1:20" s="19" customFormat="1" ht="25.4" hidden="1" customHeight="1">
      <c r="A40" s="19" t="s">
        <v>484</v>
      </c>
      <c r="B40" s="19" t="s">
        <v>701</v>
      </c>
      <c r="D40" s="26" t="s">
        <v>159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6">
        <f t="shared" si="8"/>
        <v>0</v>
      </c>
      <c r="R40" s="3"/>
      <c r="S40" s="35"/>
      <c r="T40" s="40">
        <f t="shared" si="1"/>
        <v>0</v>
      </c>
    </row>
    <row r="41" spans="1:20" s="19" customFormat="1" ht="25.4" hidden="1" customHeight="1">
      <c r="A41" s="19" t="s">
        <v>486</v>
      </c>
      <c r="B41" s="19" t="s">
        <v>701</v>
      </c>
      <c r="D41" s="26" t="s">
        <v>161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0</v>
      </c>
      <c r="P41" s="90">
        <v>0</v>
      </c>
      <c r="Q41" s="96">
        <f t="shared" si="8"/>
        <v>0</v>
      </c>
      <c r="R41" s="3"/>
      <c r="S41" s="35"/>
      <c r="T41" s="40">
        <f t="shared" si="1"/>
        <v>0</v>
      </c>
    </row>
    <row r="42" spans="1:20" s="19" customFormat="1" ht="25.4" hidden="1" customHeight="1">
      <c r="A42" s="19" t="s">
        <v>488</v>
      </c>
      <c r="B42" s="19" t="s">
        <v>701</v>
      </c>
      <c r="D42" s="26" t="s">
        <v>163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6">
        <f t="shared" si="8"/>
        <v>0</v>
      </c>
      <c r="R42" s="3"/>
      <c r="S42" s="35"/>
      <c r="T42" s="40">
        <f t="shared" si="1"/>
        <v>0</v>
      </c>
    </row>
    <row r="43" spans="1:20" s="19" customFormat="1" ht="25.4" hidden="1" customHeight="1">
      <c r="A43" s="19" t="s">
        <v>490</v>
      </c>
      <c r="B43" s="19" t="s">
        <v>701</v>
      </c>
      <c r="D43" s="26" t="s">
        <v>165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90">
        <v>0</v>
      </c>
      <c r="O43" s="90">
        <v>0</v>
      </c>
      <c r="P43" s="90">
        <v>0</v>
      </c>
      <c r="Q43" s="96">
        <f t="shared" si="8"/>
        <v>0</v>
      </c>
      <c r="R43" s="3"/>
      <c r="S43" s="35"/>
      <c r="T43" s="40">
        <f t="shared" si="1"/>
        <v>0</v>
      </c>
    </row>
    <row r="44" spans="1:20" s="19" customFormat="1" ht="25.4" hidden="1" customHeight="1">
      <c r="A44" s="19" t="s">
        <v>492</v>
      </c>
      <c r="B44" s="19" t="s">
        <v>701</v>
      </c>
      <c r="D44" s="26" t="s">
        <v>167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6">
        <f t="shared" si="8"/>
        <v>0</v>
      </c>
      <c r="R44" s="3"/>
      <c r="S44" s="35"/>
      <c r="T44" s="40">
        <f t="shared" si="1"/>
        <v>0</v>
      </c>
    </row>
    <row r="45" spans="1:20" s="19" customFormat="1" ht="25.4" hidden="1" customHeight="1">
      <c r="A45" s="19" t="s">
        <v>494</v>
      </c>
      <c r="B45" s="19" t="s">
        <v>701</v>
      </c>
      <c r="D45" s="26" t="s">
        <v>169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6">
        <f t="shared" si="8"/>
        <v>0</v>
      </c>
      <c r="R45" s="3"/>
      <c r="S45" s="35"/>
      <c r="T45" s="40">
        <f t="shared" si="1"/>
        <v>0</v>
      </c>
    </row>
    <row r="46" spans="1:20" s="3" customFormat="1" ht="25.4" hidden="1" customHeight="1">
      <c r="A46" s="3" t="s">
        <v>496</v>
      </c>
      <c r="B46" s="3" t="s">
        <v>701</v>
      </c>
      <c r="D46" s="26" t="s">
        <v>171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90">
        <v>0</v>
      </c>
      <c r="O46" s="90">
        <v>0</v>
      </c>
      <c r="P46" s="90">
        <v>0</v>
      </c>
      <c r="Q46" s="96">
        <f t="shared" si="8"/>
        <v>0</v>
      </c>
      <c r="S46" s="35"/>
      <c r="T46" s="40">
        <f t="shared" si="1"/>
        <v>0</v>
      </c>
    </row>
    <row r="47" spans="1:20" s="3" customFormat="1" ht="25.4" hidden="1" customHeight="1">
      <c r="A47" s="3" t="s">
        <v>497</v>
      </c>
      <c r="B47" s="3" t="s">
        <v>701</v>
      </c>
      <c r="D47" s="26" t="s">
        <v>173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96">
        <f t="shared" si="8"/>
        <v>0</v>
      </c>
      <c r="S47" s="35"/>
      <c r="T47" s="40">
        <f t="shared" si="1"/>
        <v>0</v>
      </c>
    </row>
    <row r="48" spans="1:20" s="3" customFormat="1" ht="25.4" hidden="1" customHeight="1">
      <c r="A48" s="254" t="s">
        <v>498</v>
      </c>
      <c r="B48" s="51" t="s">
        <v>701</v>
      </c>
      <c r="D48" s="26" t="s">
        <v>175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6">
        <f t="shared" si="8"/>
        <v>0</v>
      </c>
      <c r="S48" s="35"/>
      <c r="T48" s="40">
        <f t="shared" si="1"/>
        <v>0</v>
      </c>
    </row>
    <row r="49" spans="1:20" s="3" customFormat="1" ht="25.4" hidden="1" customHeight="1">
      <c r="A49" s="254" t="s">
        <v>500</v>
      </c>
      <c r="B49" s="51" t="s">
        <v>701</v>
      </c>
      <c r="D49" s="26" t="s">
        <v>177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6">
        <f t="shared" si="8"/>
        <v>0</v>
      </c>
      <c r="S49" s="35"/>
      <c r="T49" s="40">
        <f t="shared" si="1"/>
        <v>0</v>
      </c>
    </row>
    <row r="50" spans="1:20" s="3" customFormat="1" ht="25.4" hidden="1" customHeight="1">
      <c r="A50" s="3" t="s">
        <v>502</v>
      </c>
      <c r="B50" s="51" t="s">
        <v>701</v>
      </c>
      <c r="D50" s="26" t="s">
        <v>179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6">
        <f t="shared" si="8"/>
        <v>0</v>
      </c>
      <c r="S50" s="35"/>
      <c r="T50" s="40">
        <f t="shared" si="1"/>
        <v>0</v>
      </c>
    </row>
    <row r="51" spans="1:20" s="3" customFormat="1" ht="25.4" hidden="1" customHeight="1">
      <c r="A51" s="3" t="s">
        <v>504</v>
      </c>
      <c r="B51" s="51" t="s">
        <v>701</v>
      </c>
      <c r="D51" s="26" t="s">
        <v>181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6">
        <f t="shared" si="8"/>
        <v>0</v>
      </c>
      <c r="S51" s="35"/>
      <c r="T51" s="40">
        <f t="shared" si="1"/>
        <v>0</v>
      </c>
    </row>
    <row r="52" spans="1:20" s="3" customFormat="1" ht="25.4" hidden="1" customHeight="1">
      <c r="A52" s="254" t="s">
        <v>506</v>
      </c>
      <c r="B52" s="51" t="s">
        <v>701</v>
      </c>
      <c r="D52" s="26" t="s">
        <v>183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6">
        <f t="shared" si="8"/>
        <v>0</v>
      </c>
      <c r="S52" s="35"/>
      <c r="T52" s="40">
        <f t="shared" si="1"/>
        <v>0</v>
      </c>
    </row>
    <row r="53" spans="1:20" s="3" customFormat="1" ht="25.4" hidden="1" customHeight="1">
      <c r="A53" s="54" t="s">
        <v>508</v>
      </c>
      <c r="B53" s="51" t="s">
        <v>701</v>
      </c>
      <c r="D53" s="26" t="s">
        <v>185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  <c r="N53" s="90">
        <v>0</v>
      </c>
      <c r="O53" s="90">
        <v>0</v>
      </c>
      <c r="P53" s="90">
        <v>0</v>
      </c>
      <c r="Q53" s="96">
        <f t="shared" si="8"/>
        <v>0</v>
      </c>
      <c r="S53" s="35"/>
      <c r="T53" s="40">
        <f t="shared" si="1"/>
        <v>0</v>
      </c>
    </row>
    <row r="54" spans="1:20" s="3" customFormat="1" ht="25.4" hidden="1" customHeight="1">
      <c r="A54" s="254" t="s">
        <v>510</v>
      </c>
      <c r="B54" s="3" t="s">
        <v>701</v>
      </c>
      <c r="D54" s="26" t="s">
        <v>187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90">
        <v>0</v>
      </c>
      <c r="P54" s="90">
        <v>0</v>
      </c>
      <c r="Q54" s="96">
        <f t="shared" si="8"/>
        <v>0</v>
      </c>
      <c r="S54" s="35"/>
      <c r="T54" s="40">
        <f t="shared" si="1"/>
        <v>0</v>
      </c>
    </row>
    <row r="55" spans="1:20" s="3" customFormat="1" ht="25.4" hidden="1" customHeight="1">
      <c r="A55" s="254" t="s">
        <v>512</v>
      </c>
      <c r="B55" s="51" t="s">
        <v>701</v>
      </c>
      <c r="D55" s="26" t="s">
        <v>189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6">
        <f t="shared" si="8"/>
        <v>0</v>
      </c>
      <c r="S55" s="35"/>
      <c r="T55" s="40">
        <f t="shared" si="1"/>
        <v>0</v>
      </c>
    </row>
    <row r="56" spans="1:20" s="3" customFormat="1" ht="25.4" hidden="1" customHeight="1">
      <c r="A56" s="254" t="s">
        <v>514</v>
      </c>
      <c r="B56" s="51" t="s">
        <v>701</v>
      </c>
      <c r="D56" s="26" t="s">
        <v>191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90">
        <v>0</v>
      </c>
      <c r="O56" s="90">
        <v>0</v>
      </c>
      <c r="P56" s="90">
        <v>0</v>
      </c>
      <c r="Q56" s="96">
        <f t="shared" si="8"/>
        <v>0</v>
      </c>
      <c r="S56" s="35"/>
      <c r="T56" s="40">
        <f t="shared" si="1"/>
        <v>0</v>
      </c>
    </row>
    <row r="57" spans="1:20" s="19" customFormat="1" ht="25.4" hidden="1" customHeight="1">
      <c r="A57" s="254" t="s">
        <v>516</v>
      </c>
      <c r="B57" s="51" t="s">
        <v>701</v>
      </c>
      <c r="D57" s="26" t="s">
        <v>193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6">
        <f t="shared" si="8"/>
        <v>0</v>
      </c>
      <c r="R57" s="3"/>
      <c r="S57" s="35"/>
      <c r="T57" s="40">
        <f t="shared" si="1"/>
        <v>0</v>
      </c>
    </row>
    <row r="58" spans="1:20" s="3" customFormat="1" ht="25.4" hidden="1" customHeight="1">
      <c r="A58" s="50" t="s">
        <v>518</v>
      </c>
      <c r="B58" s="3" t="s">
        <v>701</v>
      </c>
      <c r="D58" s="26" t="s">
        <v>195</v>
      </c>
      <c r="E58" s="90">
        <v>0</v>
      </c>
      <c r="F58" s="90">
        <v>0</v>
      </c>
      <c r="G58" s="90">
        <v>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90">
        <v>0</v>
      </c>
      <c r="P58" s="90">
        <v>0</v>
      </c>
      <c r="Q58" s="96">
        <f t="shared" si="8"/>
        <v>0</v>
      </c>
      <c r="S58" s="35"/>
      <c r="T58" s="40">
        <f t="shared" si="1"/>
        <v>0</v>
      </c>
    </row>
    <row r="59" spans="1:20" s="3" customFormat="1" ht="25.4" hidden="1" customHeight="1">
      <c r="A59" s="254" t="s">
        <v>520</v>
      </c>
      <c r="B59" s="51" t="s">
        <v>701</v>
      </c>
      <c r="D59" s="26" t="s">
        <v>197</v>
      </c>
      <c r="E59" s="90">
        <v>0</v>
      </c>
      <c r="F59" s="90">
        <v>0</v>
      </c>
      <c r="G59" s="90">
        <v>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90">
        <v>0</v>
      </c>
      <c r="P59" s="90">
        <v>0</v>
      </c>
      <c r="Q59" s="96">
        <f t="shared" si="8"/>
        <v>0</v>
      </c>
      <c r="S59" s="35"/>
      <c r="T59" s="40">
        <f t="shared" si="1"/>
        <v>0</v>
      </c>
    </row>
    <row r="60" spans="1:20" s="3" customFormat="1" ht="25.4" hidden="1" customHeight="1">
      <c r="A60" s="254" t="s">
        <v>522</v>
      </c>
      <c r="B60" s="51" t="s">
        <v>701</v>
      </c>
      <c r="D60" s="26" t="s">
        <v>199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90">
        <v>0</v>
      </c>
      <c r="P60" s="90">
        <v>0</v>
      </c>
      <c r="Q60" s="96">
        <f t="shared" si="8"/>
        <v>0</v>
      </c>
      <c r="S60" s="35"/>
      <c r="T60" s="40">
        <f t="shared" si="1"/>
        <v>0</v>
      </c>
    </row>
    <row r="61" spans="1:20" s="3" customFormat="1" ht="25.4" hidden="1" customHeight="1">
      <c r="A61" s="254" t="s">
        <v>524</v>
      </c>
      <c r="B61" s="51" t="s">
        <v>701</v>
      </c>
      <c r="D61" s="26" t="s">
        <v>201</v>
      </c>
      <c r="E61" s="90">
        <v>0</v>
      </c>
      <c r="F61" s="90">
        <v>0</v>
      </c>
      <c r="G61" s="90">
        <v>0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90">
        <v>0</v>
      </c>
      <c r="O61" s="90">
        <v>0</v>
      </c>
      <c r="P61" s="90">
        <v>0</v>
      </c>
      <c r="Q61" s="96">
        <f t="shared" si="8"/>
        <v>0</v>
      </c>
      <c r="S61" s="35"/>
      <c r="T61" s="40">
        <f t="shared" si="1"/>
        <v>0</v>
      </c>
    </row>
    <row r="62" spans="1:20" s="3" customFormat="1" ht="25.4" hidden="1" customHeight="1">
      <c r="A62" s="254" t="s">
        <v>526</v>
      </c>
      <c r="B62" s="51" t="s">
        <v>701</v>
      </c>
      <c r="D62" s="26" t="s">
        <v>203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6">
        <f t="shared" si="8"/>
        <v>0</v>
      </c>
      <c r="S62" s="35"/>
      <c r="T62" s="40">
        <f t="shared" si="1"/>
        <v>0</v>
      </c>
    </row>
    <row r="63" spans="1:20" s="3" customFormat="1" ht="25.4" hidden="1" customHeight="1">
      <c r="A63" s="254" t="s">
        <v>528</v>
      </c>
      <c r="B63" s="51" t="s">
        <v>701</v>
      </c>
      <c r="D63" s="26" t="s">
        <v>205</v>
      </c>
      <c r="E63" s="90">
        <v>0</v>
      </c>
      <c r="F63" s="90">
        <v>0</v>
      </c>
      <c r="G63" s="90">
        <v>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90">
        <v>0</v>
      </c>
      <c r="P63" s="90">
        <v>0</v>
      </c>
      <c r="Q63" s="96">
        <f t="shared" si="8"/>
        <v>0</v>
      </c>
      <c r="S63" s="35"/>
      <c r="T63" s="40">
        <f t="shared" si="1"/>
        <v>0</v>
      </c>
    </row>
    <row r="64" spans="1:20" s="3" customFormat="1" ht="25.4" hidden="1" customHeight="1">
      <c r="A64" s="254" t="s">
        <v>530</v>
      </c>
      <c r="B64" s="51" t="s">
        <v>701</v>
      </c>
      <c r="D64" s="26" t="s">
        <v>207</v>
      </c>
      <c r="E64" s="90">
        <v>0</v>
      </c>
      <c r="F64" s="90">
        <v>0</v>
      </c>
      <c r="G64" s="90">
        <v>0</v>
      </c>
      <c r="H64" s="90">
        <v>0</v>
      </c>
      <c r="I64" s="90">
        <v>0</v>
      </c>
      <c r="J64" s="90">
        <v>0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0</v>
      </c>
      <c r="Q64" s="96">
        <f t="shared" si="8"/>
        <v>0</v>
      </c>
      <c r="S64" s="35"/>
      <c r="T64" s="40">
        <f t="shared" si="1"/>
        <v>0</v>
      </c>
    </row>
    <row r="65" spans="1:20" s="3" customFormat="1" ht="25.4" hidden="1" customHeight="1">
      <c r="A65" s="254" t="s">
        <v>532</v>
      </c>
      <c r="B65" s="51" t="s">
        <v>701</v>
      </c>
      <c r="D65" s="26" t="s">
        <v>209</v>
      </c>
      <c r="E65" s="90">
        <v>0</v>
      </c>
      <c r="F65" s="90">
        <v>0</v>
      </c>
      <c r="G65" s="90">
        <v>0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90">
        <v>0</v>
      </c>
      <c r="O65" s="90">
        <v>0</v>
      </c>
      <c r="P65" s="90">
        <v>0</v>
      </c>
      <c r="Q65" s="96">
        <f t="shared" si="8"/>
        <v>0</v>
      </c>
      <c r="S65" s="35"/>
      <c r="T65" s="40">
        <f t="shared" si="1"/>
        <v>0</v>
      </c>
    </row>
    <row r="66" spans="1:20" s="3" customFormat="1" ht="25.4" hidden="1" customHeight="1">
      <c r="A66" s="254" t="s">
        <v>534</v>
      </c>
      <c r="B66" s="51" t="s">
        <v>701</v>
      </c>
      <c r="D66" s="26" t="s">
        <v>211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  <c r="Q66" s="96">
        <f t="shared" si="8"/>
        <v>0</v>
      </c>
      <c r="S66" s="35"/>
      <c r="T66" s="40">
        <f t="shared" si="1"/>
        <v>0</v>
      </c>
    </row>
    <row r="67" spans="1:20" s="19" customFormat="1" ht="25.4" hidden="1" customHeight="1">
      <c r="A67" s="254" t="s">
        <v>536</v>
      </c>
      <c r="B67" s="51" t="s">
        <v>701</v>
      </c>
      <c r="D67" s="26" t="s">
        <v>213</v>
      </c>
      <c r="E67" s="90">
        <v>0</v>
      </c>
      <c r="F67" s="90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6">
        <f t="shared" si="8"/>
        <v>0</v>
      </c>
      <c r="R67" s="3"/>
      <c r="S67" s="35"/>
      <c r="T67" s="40">
        <f t="shared" si="1"/>
        <v>0</v>
      </c>
    </row>
    <row r="68" spans="1:20" s="19" customFormat="1" ht="25.4" hidden="1" customHeight="1">
      <c r="A68" s="254" t="s">
        <v>538</v>
      </c>
      <c r="B68" s="51" t="s">
        <v>701</v>
      </c>
      <c r="D68" s="26" t="s">
        <v>215</v>
      </c>
      <c r="E68" s="90">
        <v>0</v>
      </c>
      <c r="F68" s="90">
        <v>0</v>
      </c>
      <c r="G68" s="90">
        <v>0</v>
      </c>
      <c r="H68" s="90">
        <v>0</v>
      </c>
      <c r="I68" s="90">
        <v>0</v>
      </c>
      <c r="J68" s="90">
        <v>0</v>
      </c>
      <c r="K68" s="90">
        <v>0</v>
      </c>
      <c r="L68" s="90">
        <v>0</v>
      </c>
      <c r="M68" s="90">
        <v>0</v>
      </c>
      <c r="N68" s="90">
        <v>0</v>
      </c>
      <c r="O68" s="90">
        <v>0</v>
      </c>
      <c r="P68" s="90">
        <v>0</v>
      </c>
      <c r="Q68" s="96">
        <f t="shared" si="8"/>
        <v>0</v>
      </c>
      <c r="R68" s="3"/>
      <c r="S68" s="35"/>
      <c r="T68" s="40">
        <f t="shared" si="1"/>
        <v>0</v>
      </c>
    </row>
    <row r="69" spans="1:20" s="3" customFormat="1" ht="25.4" hidden="1" customHeight="1">
      <c r="A69" s="3" t="s">
        <v>540</v>
      </c>
      <c r="B69" s="51" t="s">
        <v>701</v>
      </c>
      <c r="D69" s="26" t="s">
        <v>217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0</v>
      </c>
      <c r="P69" s="90">
        <v>0</v>
      </c>
      <c r="Q69" s="96">
        <f t="shared" si="8"/>
        <v>0</v>
      </c>
      <c r="S69" s="35"/>
      <c r="T69" s="40">
        <f t="shared" si="1"/>
        <v>0</v>
      </c>
    </row>
    <row r="70" spans="1:20" s="3" customFormat="1" ht="25.4" hidden="1" customHeight="1">
      <c r="A70" s="3" t="s">
        <v>542</v>
      </c>
      <c r="B70" s="51" t="s">
        <v>701</v>
      </c>
      <c r="D70" s="26" t="s">
        <v>219</v>
      </c>
      <c r="E70" s="90">
        <v>0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6">
        <f t="shared" si="8"/>
        <v>0</v>
      </c>
      <c r="S70" s="35"/>
      <c r="T70" s="40">
        <f t="shared" si="1"/>
        <v>0</v>
      </c>
    </row>
    <row r="71" spans="1:20" s="3" customFormat="1" ht="25.4" hidden="1" customHeight="1">
      <c r="A71" s="3" t="s">
        <v>544</v>
      </c>
      <c r="B71" s="51" t="s">
        <v>701</v>
      </c>
      <c r="D71" s="26" t="s">
        <v>221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90">
        <v>0</v>
      </c>
      <c r="O71" s="90">
        <v>0</v>
      </c>
      <c r="P71" s="90">
        <v>0</v>
      </c>
      <c r="Q71" s="96">
        <f t="shared" si="8"/>
        <v>0</v>
      </c>
      <c r="S71" s="35"/>
      <c r="T71" s="40">
        <f t="shared" si="1"/>
        <v>0</v>
      </c>
    </row>
    <row r="72" spans="1:20" s="3" customFormat="1" ht="25.4" hidden="1" customHeight="1">
      <c r="A72" s="3" t="s">
        <v>546</v>
      </c>
      <c r="B72" s="51" t="s">
        <v>701</v>
      </c>
      <c r="D72" s="26" t="s">
        <v>223</v>
      </c>
      <c r="E72" s="90">
        <v>0</v>
      </c>
      <c r="F72" s="90">
        <v>0</v>
      </c>
      <c r="G72" s="90">
        <v>0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90">
        <v>0</v>
      </c>
      <c r="O72" s="90">
        <v>0</v>
      </c>
      <c r="P72" s="90">
        <v>0</v>
      </c>
      <c r="Q72" s="96">
        <f t="shared" si="8"/>
        <v>0</v>
      </c>
      <c r="S72" s="35"/>
      <c r="T72" s="40">
        <f t="shared" si="1"/>
        <v>0</v>
      </c>
    </row>
    <row r="73" spans="1:20" s="3" customFormat="1" ht="25.4" hidden="1" customHeight="1">
      <c r="A73" s="3" t="s">
        <v>548</v>
      </c>
      <c r="B73" s="51" t="s">
        <v>701</v>
      </c>
      <c r="D73" s="26" t="s">
        <v>225</v>
      </c>
      <c r="E73" s="90">
        <v>0</v>
      </c>
      <c r="F73" s="90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6">
        <f t="shared" si="8"/>
        <v>0</v>
      </c>
      <c r="S73" s="35"/>
      <c r="T73" s="40">
        <f t="shared" si="1"/>
        <v>0</v>
      </c>
    </row>
    <row r="74" spans="1:20" s="3" customFormat="1" ht="25.4" hidden="1" customHeight="1">
      <c r="A74" s="3" t="s">
        <v>550</v>
      </c>
      <c r="B74" s="51" t="s">
        <v>701</v>
      </c>
      <c r="D74" s="26" t="s">
        <v>227</v>
      </c>
      <c r="E74" s="90">
        <v>0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  <c r="Q74" s="96">
        <f t="shared" si="8"/>
        <v>0</v>
      </c>
      <c r="S74" s="35"/>
      <c r="T74" s="40">
        <f t="shared" si="1"/>
        <v>0</v>
      </c>
    </row>
    <row r="75" spans="1:20" s="3" customFormat="1" ht="25.4" hidden="1" customHeight="1">
      <c r="A75" s="3" t="s">
        <v>552</v>
      </c>
      <c r="B75" s="51" t="s">
        <v>701</v>
      </c>
      <c r="D75" s="26" t="s">
        <v>229</v>
      </c>
      <c r="E75" s="90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6">
        <f t="shared" si="8"/>
        <v>0</v>
      </c>
      <c r="S75" s="35"/>
      <c r="T75" s="40">
        <f t="shared" si="1"/>
        <v>0</v>
      </c>
    </row>
    <row r="76" spans="1:20" s="3" customFormat="1" ht="25.4" hidden="1" customHeight="1">
      <c r="A76" s="3" t="s">
        <v>554</v>
      </c>
      <c r="B76" s="51" t="s">
        <v>701</v>
      </c>
      <c r="D76" s="26" t="s">
        <v>231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6">
        <f t="shared" si="8"/>
        <v>0</v>
      </c>
      <c r="S76" s="35"/>
      <c r="T76" s="40">
        <f t="shared" si="1"/>
        <v>0</v>
      </c>
    </row>
    <row r="77" spans="1:20" s="3" customFormat="1" ht="25.4" hidden="1" customHeight="1">
      <c r="A77" s="254" t="s">
        <v>556</v>
      </c>
      <c r="B77" s="51" t="s">
        <v>701</v>
      </c>
      <c r="D77" s="26" t="s">
        <v>233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6">
        <f t="shared" si="8"/>
        <v>0</v>
      </c>
      <c r="S77" s="35"/>
      <c r="T77" s="40">
        <f t="shared" ref="T77:T102" si="9">IF(Q77-S77=0,0,(Q77-S77)/S77)</f>
        <v>0</v>
      </c>
    </row>
    <row r="78" spans="1:20" s="3" customFormat="1" ht="25.4" hidden="1" customHeight="1">
      <c r="A78" s="254" t="s">
        <v>558</v>
      </c>
      <c r="B78" s="51" t="s">
        <v>701</v>
      </c>
      <c r="D78" s="26" t="s">
        <v>235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90">
        <v>0</v>
      </c>
      <c r="O78" s="90">
        <v>0</v>
      </c>
      <c r="P78" s="90">
        <v>0</v>
      </c>
      <c r="Q78" s="96">
        <f t="shared" si="8"/>
        <v>0</v>
      </c>
      <c r="S78" s="35"/>
      <c r="T78" s="40">
        <f t="shared" si="9"/>
        <v>0</v>
      </c>
    </row>
    <row r="79" spans="1:20" s="3" customFormat="1" ht="25.4" hidden="1" customHeight="1">
      <c r="A79" s="254" t="s">
        <v>422</v>
      </c>
      <c r="B79" s="51" t="s">
        <v>701</v>
      </c>
      <c r="D79" s="26" t="s">
        <v>423</v>
      </c>
      <c r="E79" s="90">
        <v>0</v>
      </c>
      <c r="F79" s="90">
        <v>0</v>
      </c>
      <c r="G79" s="90">
        <v>0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  <c r="Q79" s="96">
        <f t="shared" si="8"/>
        <v>0</v>
      </c>
      <c r="S79" s="35"/>
      <c r="T79" s="40">
        <f t="shared" si="9"/>
        <v>0</v>
      </c>
    </row>
    <row r="80" spans="1:20" ht="26.25" hidden="1" customHeight="1">
      <c r="A80" s="5" t="s">
        <v>560</v>
      </c>
      <c r="B80" s="5" t="s">
        <v>701</v>
      </c>
      <c r="D80" s="26" t="s">
        <v>237</v>
      </c>
      <c r="E80" s="90">
        <v>0</v>
      </c>
      <c r="F80" s="90">
        <v>0</v>
      </c>
      <c r="G80" s="90">
        <v>0</v>
      </c>
      <c r="H80" s="90">
        <v>0</v>
      </c>
      <c r="I80" s="90">
        <v>0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  <c r="Q80" s="96">
        <f t="shared" si="8"/>
        <v>0</v>
      </c>
      <c r="S80" s="35"/>
      <c r="T80" s="40">
        <f t="shared" si="9"/>
        <v>0</v>
      </c>
    </row>
    <row r="81" spans="1:20" ht="26.25" hidden="1" customHeight="1">
      <c r="A81" s="5" t="s">
        <v>562</v>
      </c>
      <c r="B81" s="5" t="s">
        <v>701</v>
      </c>
      <c r="D81" s="26" t="s">
        <v>239</v>
      </c>
      <c r="E81" s="90">
        <v>0</v>
      </c>
      <c r="F81" s="90">
        <v>0</v>
      </c>
      <c r="G81" s="90">
        <v>0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O81" s="90">
        <v>0</v>
      </c>
      <c r="P81" s="90">
        <v>0</v>
      </c>
      <c r="Q81" s="96">
        <f t="shared" si="8"/>
        <v>0</v>
      </c>
      <c r="S81" s="35"/>
      <c r="T81" s="40">
        <f t="shared" si="9"/>
        <v>0</v>
      </c>
    </row>
    <row r="82" spans="1:20" ht="26.25" hidden="1" customHeight="1">
      <c r="A82" s="5" t="s">
        <v>564</v>
      </c>
      <c r="B82" s="5" t="s">
        <v>701</v>
      </c>
      <c r="D82" s="26" t="s">
        <v>241</v>
      </c>
      <c r="E82" s="90">
        <v>0</v>
      </c>
      <c r="F82" s="90">
        <v>0</v>
      </c>
      <c r="G82" s="90">
        <v>0</v>
      </c>
      <c r="H82" s="90">
        <v>0</v>
      </c>
      <c r="I82" s="90">
        <v>0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  <c r="Q82" s="96">
        <f t="shared" si="8"/>
        <v>0</v>
      </c>
      <c r="S82" s="35"/>
      <c r="T82" s="40">
        <f t="shared" si="9"/>
        <v>0</v>
      </c>
    </row>
    <row r="83" spans="1:20" ht="26.25" hidden="1" customHeight="1">
      <c r="A83" s="5" t="s">
        <v>566</v>
      </c>
      <c r="B83" s="5" t="s">
        <v>701</v>
      </c>
      <c r="D83" s="26" t="s">
        <v>243</v>
      </c>
      <c r="E83" s="90">
        <v>0</v>
      </c>
      <c r="F83" s="90">
        <v>0</v>
      </c>
      <c r="G83" s="90">
        <v>0</v>
      </c>
      <c r="H83" s="90">
        <v>0</v>
      </c>
      <c r="I83" s="90">
        <v>0</v>
      </c>
      <c r="J83" s="90">
        <v>0</v>
      </c>
      <c r="K83" s="90">
        <v>0</v>
      </c>
      <c r="L83" s="90">
        <v>0</v>
      </c>
      <c r="M83" s="90">
        <v>0</v>
      </c>
      <c r="N83" s="90">
        <v>0</v>
      </c>
      <c r="O83" s="90">
        <v>0</v>
      </c>
      <c r="P83" s="90">
        <v>0</v>
      </c>
      <c r="Q83" s="96">
        <f t="shared" si="8"/>
        <v>0</v>
      </c>
      <c r="S83" s="35"/>
      <c r="T83" s="40">
        <f t="shared" si="9"/>
        <v>0</v>
      </c>
    </row>
    <row r="84" spans="1:20" ht="26.25" hidden="1" customHeight="1">
      <c r="A84" s="5" t="s">
        <v>568</v>
      </c>
      <c r="B84" s="5" t="s">
        <v>701</v>
      </c>
      <c r="D84" s="26" t="s">
        <v>245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0">
        <v>0</v>
      </c>
      <c r="O84" s="90">
        <v>0</v>
      </c>
      <c r="P84" s="90">
        <v>0</v>
      </c>
      <c r="Q84" s="96">
        <f t="shared" si="8"/>
        <v>0</v>
      </c>
      <c r="S84" s="35"/>
      <c r="T84" s="40">
        <f t="shared" si="9"/>
        <v>0</v>
      </c>
    </row>
    <row r="85" spans="1:20" ht="26.25" hidden="1" customHeight="1">
      <c r="A85" s="5" t="s">
        <v>570</v>
      </c>
      <c r="B85" s="5" t="s">
        <v>701</v>
      </c>
      <c r="D85" s="26" t="s">
        <v>247</v>
      </c>
      <c r="E85" s="90">
        <v>0</v>
      </c>
      <c r="F85" s="90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6">
        <f t="shared" si="8"/>
        <v>0</v>
      </c>
      <c r="S85" s="35"/>
      <c r="T85" s="40">
        <f t="shared" si="9"/>
        <v>0</v>
      </c>
    </row>
    <row r="86" spans="1:20" ht="26.25" hidden="1" customHeight="1">
      <c r="A86" s="5" t="s">
        <v>572</v>
      </c>
      <c r="B86" s="5" t="s">
        <v>701</v>
      </c>
      <c r="D86" s="26" t="s">
        <v>249</v>
      </c>
      <c r="E86" s="90">
        <v>0</v>
      </c>
      <c r="F86" s="90">
        <v>0</v>
      </c>
      <c r="G86" s="90">
        <v>0</v>
      </c>
      <c r="H86" s="90">
        <v>0</v>
      </c>
      <c r="I86" s="90">
        <v>0</v>
      </c>
      <c r="J86" s="90">
        <v>0</v>
      </c>
      <c r="K86" s="90">
        <v>0</v>
      </c>
      <c r="L86" s="90">
        <v>0</v>
      </c>
      <c r="M86" s="90">
        <v>0</v>
      </c>
      <c r="N86" s="90">
        <v>0</v>
      </c>
      <c r="O86" s="90">
        <v>0</v>
      </c>
      <c r="P86" s="90">
        <v>0</v>
      </c>
      <c r="Q86" s="96">
        <f t="shared" si="8"/>
        <v>0</v>
      </c>
      <c r="S86" s="35"/>
      <c r="T86" s="40">
        <f t="shared" si="9"/>
        <v>0</v>
      </c>
    </row>
    <row r="87" spans="1:20" ht="26.25" hidden="1" customHeight="1">
      <c r="A87" s="5" t="s">
        <v>574</v>
      </c>
      <c r="B87" s="5" t="s">
        <v>701</v>
      </c>
      <c r="D87" s="26" t="s">
        <v>251</v>
      </c>
      <c r="E87" s="90">
        <v>0</v>
      </c>
      <c r="F87" s="90">
        <v>0</v>
      </c>
      <c r="G87" s="90">
        <v>0</v>
      </c>
      <c r="H87" s="90">
        <v>0</v>
      </c>
      <c r="I87" s="90">
        <v>0</v>
      </c>
      <c r="J87" s="90">
        <v>0</v>
      </c>
      <c r="K87" s="90">
        <v>0</v>
      </c>
      <c r="L87" s="90">
        <v>0</v>
      </c>
      <c r="M87" s="90">
        <v>0</v>
      </c>
      <c r="N87" s="90">
        <v>0</v>
      </c>
      <c r="O87" s="90">
        <v>0</v>
      </c>
      <c r="P87" s="90">
        <v>0</v>
      </c>
      <c r="Q87" s="96">
        <f t="shared" si="8"/>
        <v>0</v>
      </c>
      <c r="S87" s="35"/>
      <c r="T87" s="40">
        <f t="shared" si="9"/>
        <v>0</v>
      </c>
    </row>
    <row r="88" spans="1:20" ht="26.25" hidden="1" customHeight="1">
      <c r="A88" s="5" t="s">
        <v>576</v>
      </c>
      <c r="B88" s="5" t="s">
        <v>701</v>
      </c>
      <c r="D88" s="26" t="s">
        <v>253</v>
      </c>
      <c r="E88" s="90">
        <v>0</v>
      </c>
      <c r="F88" s="90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6">
        <f t="shared" si="8"/>
        <v>0</v>
      </c>
      <c r="S88" s="35"/>
      <c r="T88" s="40">
        <f t="shared" si="9"/>
        <v>0</v>
      </c>
    </row>
    <row r="89" spans="1:20" ht="26.25" hidden="1" customHeight="1">
      <c r="A89" s="5" t="s">
        <v>578</v>
      </c>
      <c r="B89" s="5" t="s">
        <v>701</v>
      </c>
      <c r="D89" s="26" t="s">
        <v>255</v>
      </c>
      <c r="E89" s="90">
        <v>0</v>
      </c>
      <c r="F89" s="90">
        <v>0</v>
      </c>
      <c r="G89" s="90">
        <v>0</v>
      </c>
      <c r="H89" s="90">
        <v>0</v>
      </c>
      <c r="I89" s="90">
        <v>0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  <c r="Q89" s="96">
        <f t="shared" si="8"/>
        <v>0</v>
      </c>
      <c r="S89" s="35"/>
      <c r="T89" s="40">
        <f t="shared" si="9"/>
        <v>0</v>
      </c>
    </row>
    <row r="90" spans="1:20" ht="26.25" hidden="1" customHeight="1">
      <c r="A90" s="5" t="s">
        <v>580</v>
      </c>
      <c r="B90" s="5" t="s">
        <v>701</v>
      </c>
      <c r="D90" s="26" t="s">
        <v>257</v>
      </c>
      <c r="E90" s="90">
        <v>0</v>
      </c>
      <c r="F90" s="90">
        <v>0</v>
      </c>
      <c r="G90" s="90">
        <v>0</v>
      </c>
      <c r="H90" s="90">
        <v>0</v>
      </c>
      <c r="I90" s="90">
        <v>0</v>
      </c>
      <c r="J90" s="90">
        <v>0</v>
      </c>
      <c r="K90" s="90">
        <v>0</v>
      </c>
      <c r="L90" s="90">
        <v>0</v>
      </c>
      <c r="M90" s="90">
        <v>0</v>
      </c>
      <c r="N90" s="90">
        <v>0</v>
      </c>
      <c r="O90" s="90">
        <v>0</v>
      </c>
      <c r="P90" s="90">
        <v>0</v>
      </c>
      <c r="Q90" s="96">
        <f t="shared" si="8"/>
        <v>0</v>
      </c>
      <c r="S90" s="35"/>
      <c r="T90" s="40">
        <f t="shared" si="9"/>
        <v>0</v>
      </c>
    </row>
    <row r="91" spans="1:20" ht="26.25" hidden="1" customHeight="1">
      <c r="A91" s="5" t="s">
        <v>582</v>
      </c>
      <c r="B91" s="5" t="s">
        <v>701</v>
      </c>
      <c r="D91" s="26" t="s">
        <v>259</v>
      </c>
      <c r="E91" s="90">
        <v>0</v>
      </c>
      <c r="F91" s="90">
        <v>0</v>
      </c>
      <c r="G91" s="90">
        <v>0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6">
        <f t="shared" si="8"/>
        <v>0</v>
      </c>
      <c r="S91" s="35"/>
      <c r="T91" s="40">
        <f t="shared" si="9"/>
        <v>0</v>
      </c>
    </row>
    <row r="92" spans="1:20" ht="26.25" hidden="1" customHeight="1">
      <c r="A92" s="5" t="s">
        <v>584</v>
      </c>
      <c r="B92" s="5" t="s">
        <v>701</v>
      </c>
      <c r="D92" s="26" t="s">
        <v>261</v>
      </c>
      <c r="E92" s="90">
        <v>0</v>
      </c>
      <c r="F92" s="90">
        <v>0</v>
      </c>
      <c r="G92" s="90">
        <v>0</v>
      </c>
      <c r="H92" s="90">
        <v>0</v>
      </c>
      <c r="I92" s="90">
        <v>0</v>
      </c>
      <c r="J92" s="90">
        <v>0</v>
      </c>
      <c r="K92" s="90">
        <v>0</v>
      </c>
      <c r="L92" s="90">
        <v>0</v>
      </c>
      <c r="M92" s="90">
        <v>0</v>
      </c>
      <c r="N92" s="90">
        <v>0</v>
      </c>
      <c r="O92" s="90">
        <v>0</v>
      </c>
      <c r="P92" s="90">
        <v>0</v>
      </c>
      <c r="Q92" s="96">
        <f t="shared" si="8"/>
        <v>0</v>
      </c>
      <c r="S92" s="35"/>
      <c r="T92" s="40">
        <f t="shared" si="9"/>
        <v>0</v>
      </c>
    </row>
    <row r="93" spans="1:20" ht="26.25" hidden="1" customHeight="1">
      <c r="A93" s="5" t="s">
        <v>586</v>
      </c>
      <c r="B93" s="5" t="s">
        <v>701</v>
      </c>
      <c r="D93" s="26" t="s">
        <v>263</v>
      </c>
      <c r="E93" s="90">
        <v>0</v>
      </c>
      <c r="F93" s="90">
        <v>0</v>
      </c>
      <c r="G93" s="90">
        <v>0</v>
      </c>
      <c r="H93" s="90">
        <v>0</v>
      </c>
      <c r="I93" s="90">
        <v>0</v>
      </c>
      <c r="J93" s="90">
        <v>0</v>
      </c>
      <c r="K93" s="90">
        <v>0</v>
      </c>
      <c r="L93" s="90">
        <v>0</v>
      </c>
      <c r="M93" s="90">
        <v>0</v>
      </c>
      <c r="N93" s="90">
        <v>0</v>
      </c>
      <c r="O93" s="90">
        <v>0</v>
      </c>
      <c r="P93" s="90">
        <v>0</v>
      </c>
      <c r="Q93" s="96">
        <f t="shared" si="8"/>
        <v>0</v>
      </c>
      <c r="S93" s="35"/>
      <c r="T93" s="40">
        <f t="shared" si="9"/>
        <v>0</v>
      </c>
    </row>
    <row r="94" spans="1:20" ht="26.25" hidden="1" customHeight="1">
      <c r="A94" s="5" t="s">
        <v>588</v>
      </c>
      <c r="B94" s="5" t="s">
        <v>701</v>
      </c>
      <c r="D94" s="26" t="s">
        <v>265</v>
      </c>
      <c r="E94" s="90">
        <v>0</v>
      </c>
      <c r="F94" s="90">
        <v>0</v>
      </c>
      <c r="G94" s="90">
        <v>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  <c r="Q94" s="96">
        <f t="shared" si="8"/>
        <v>0</v>
      </c>
      <c r="S94" s="35"/>
      <c r="T94" s="40">
        <f t="shared" si="9"/>
        <v>0</v>
      </c>
    </row>
    <row r="95" spans="1:20" ht="26.25" hidden="1" customHeight="1">
      <c r="A95" s="5" t="s">
        <v>590</v>
      </c>
      <c r="B95" s="5" t="s">
        <v>701</v>
      </c>
      <c r="D95" s="26" t="s">
        <v>267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6">
        <f t="shared" si="8"/>
        <v>0</v>
      </c>
      <c r="S95" s="35"/>
      <c r="T95" s="40">
        <f t="shared" si="9"/>
        <v>0</v>
      </c>
    </row>
    <row r="96" spans="1:20" ht="26.25" hidden="1" customHeight="1">
      <c r="A96" s="5" t="s">
        <v>592</v>
      </c>
      <c r="B96" s="5" t="s">
        <v>701</v>
      </c>
      <c r="D96" s="26" t="s">
        <v>269</v>
      </c>
      <c r="E96" s="90">
        <v>0</v>
      </c>
      <c r="F96" s="90">
        <v>0</v>
      </c>
      <c r="G96" s="90">
        <v>0</v>
      </c>
      <c r="H96" s="90">
        <v>0</v>
      </c>
      <c r="I96" s="90">
        <v>0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90">
        <v>0</v>
      </c>
      <c r="P96" s="90">
        <v>0</v>
      </c>
      <c r="Q96" s="96">
        <f t="shared" si="8"/>
        <v>0</v>
      </c>
      <c r="S96" s="35"/>
      <c r="T96" s="40">
        <f t="shared" si="9"/>
        <v>0</v>
      </c>
    </row>
    <row r="97" spans="1:20" ht="26.25" hidden="1" customHeight="1">
      <c r="A97" s="5" t="s">
        <v>270</v>
      </c>
      <c r="B97" s="5" t="s">
        <v>701</v>
      </c>
      <c r="D97" s="26" t="s">
        <v>271</v>
      </c>
      <c r="E97" s="90">
        <v>0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6">
        <f t="shared" ref="Q97:Q99" si="10">SUM(E97:P97)</f>
        <v>0</v>
      </c>
      <c r="S97" s="35"/>
      <c r="T97" s="40">
        <f t="shared" si="9"/>
        <v>0</v>
      </c>
    </row>
    <row r="98" spans="1:20" ht="26.25" hidden="1" customHeight="1">
      <c r="A98" s="5" t="s">
        <v>272</v>
      </c>
      <c r="B98" s="5" t="s">
        <v>701</v>
      </c>
      <c r="D98" s="26" t="s">
        <v>273</v>
      </c>
      <c r="E98" s="90">
        <v>0</v>
      </c>
      <c r="F98" s="90">
        <v>0</v>
      </c>
      <c r="G98" s="90">
        <v>0</v>
      </c>
      <c r="H98" s="90">
        <v>0</v>
      </c>
      <c r="I98" s="90">
        <v>0</v>
      </c>
      <c r="J98" s="90">
        <v>0</v>
      </c>
      <c r="K98" s="90">
        <v>0</v>
      </c>
      <c r="L98" s="90">
        <v>0</v>
      </c>
      <c r="M98" s="90">
        <v>0</v>
      </c>
      <c r="N98" s="90">
        <v>0</v>
      </c>
      <c r="O98" s="90">
        <v>0</v>
      </c>
      <c r="P98" s="90">
        <v>0</v>
      </c>
      <c r="Q98" s="96">
        <f t="shared" si="10"/>
        <v>0</v>
      </c>
      <c r="S98" s="35"/>
      <c r="T98" s="40">
        <f>-IF(Q98-S98=0,0,(Q98-S98)/S98)</f>
        <v>0</v>
      </c>
    </row>
    <row r="99" spans="1:20" ht="26.25" hidden="1" customHeight="1">
      <c r="A99" s="5" t="s">
        <v>595</v>
      </c>
      <c r="B99" s="5" t="s">
        <v>701</v>
      </c>
      <c r="D99" s="26" t="s">
        <v>275</v>
      </c>
      <c r="E99" s="90">
        <v>0</v>
      </c>
      <c r="F99" s="90">
        <v>0</v>
      </c>
      <c r="G99" s="90">
        <v>0</v>
      </c>
      <c r="H99" s="90">
        <v>0</v>
      </c>
      <c r="I99" s="90">
        <v>0</v>
      </c>
      <c r="J99" s="90">
        <v>0</v>
      </c>
      <c r="K99" s="90">
        <v>0</v>
      </c>
      <c r="L99" s="90">
        <v>0</v>
      </c>
      <c r="M99" s="90">
        <v>0</v>
      </c>
      <c r="N99" s="90">
        <v>0</v>
      </c>
      <c r="O99" s="90">
        <v>0</v>
      </c>
      <c r="P99" s="90">
        <v>0</v>
      </c>
      <c r="Q99" s="96">
        <f t="shared" si="10"/>
        <v>0</v>
      </c>
      <c r="S99" s="35"/>
      <c r="T99" s="40">
        <f>-IF(Q99-S99=0,0,(Q99-S99)/S99)</f>
        <v>0</v>
      </c>
    </row>
    <row r="100" spans="1:20" ht="26.25" hidden="1" customHeight="1">
      <c r="D100" s="21" t="s">
        <v>758</v>
      </c>
      <c r="E100" s="91">
        <f>SUM(E32:E99)</f>
        <v>0</v>
      </c>
      <c r="F100" s="91">
        <f t="shared" ref="F100:Q100" si="11">SUM(F32:F99)</f>
        <v>0</v>
      </c>
      <c r="G100" s="91">
        <f t="shared" si="11"/>
        <v>0</v>
      </c>
      <c r="H100" s="91">
        <f t="shared" si="11"/>
        <v>0</v>
      </c>
      <c r="I100" s="91">
        <f t="shared" si="11"/>
        <v>0</v>
      </c>
      <c r="J100" s="91">
        <f t="shared" si="11"/>
        <v>0</v>
      </c>
      <c r="K100" s="91">
        <f t="shared" si="11"/>
        <v>0</v>
      </c>
      <c r="L100" s="91">
        <f t="shared" si="11"/>
        <v>0</v>
      </c>
      <c r="M100" s="91">
        <f t="shared" si="11"/>
        <v>0</v>
      </c>
      <c r="N100" s="91">
        <f t="shared" si="11"/>
        <v>0</v>
      </c>
      <c r="O100" s="91">
        <f t="shared" si="11"/>
        <v>0</v>
      </c>
      <c r="P100" s="91">
        <f t="shared" si="11"/>
        <v>0</v>
      </c>
      <c r="Q100" s="91">
        <f t="shared" si="11"/>
        <v>0</v>
      </c>
      <c r="R100" s="39">
        <f>Q100/$Q$18</f>
        <v>0</v>
      </c>
      <c r="S100" s="35"/>
      <c r="T100" s="40">
        <f t="shared" si="9"/>
        <v>0</v>
      </c>
    </row>
    <row r="101" spans="1:20" ht="26.25" customHeight="1">
      <c r="D101" s="21" t="s">
        <v>759</v>
      </c>
      <c r="E101" s="91">
        <f>E18-E27-E29-E100</f>
        <v>2700</v>
      </c>
      <c r="F101" s="91">
        <f t="shared" ref="F101:Q101" si="12">F18-F27-F29-F100</f>
        <v>2400</v>
      </c>
      <c r="G101" s="91">
        <f t="shared" si="12"/>
        <v>2400</v>
      </c>
      <c r="H101" s="91">
        <f t="shared" si="12"/>
        <v>2400</v>
      </c>
      <c r="I101" s="91">
        <f t="shared" si="12"/>
        <v>2700</v>
      </c>
      <c r="J101" s="91">
        <f t="shared" si="12"/>
        <v>2400</v>
      </c>
      <c r="K101" s="91">
        <f t="shared" si="12"/>
        <v>2400</v>
      </c>
      <c r="L101" s="91">
        <f t="shared" si="12"/>
        <v>2400</v>
      </c>
      <c r="M101" s="91">
        <f t="shared" si="12"/>
        <v>2400</v>
      </c>
      <c r="N101" s="91">
        <f t="shared" si="12"/>
        <v>2700</v>
      </c>
      <c r="O101" s="91">
        <f t="shared" si="12"/>
        <v>2400</v>
      </c>
      <c r="P101" s="91">
        <f t="shared" si="12"/>
        <v>2400</v>
      </c>
      <c r="Q101" s="91">
        <f t="shared" si="12"/>
        <v>29700</v>
      </c>
      <c r="R101" s="39">
        <f>Q101/$Q$18</f>
        <v>0.6</v>
      </c>
      <c r="S101" s="35"/>
      <c r="T101" s="40"/>
    </row>
    <row r="102" spans="1:20" ht="26.25" customHeight="1">
      <c r="A102" s="5" t="s">
        <v>760</v>
      </c>
      <c r="B102" s="5" t="s">
        <v>701</v>
      </c>
      <c r="D102" s="21" t="s">
        <v>353</v>
      </c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S102" s="35"/>
      <c r="T102" s="40">
        <f t="shared" si="9"/>
        <v>0</v>
      </c>
    </row>
    <row r="103" spans="1:20" ht="26.25" customHeight="1">
      <c r="E103" s="98">
        <f>E101/E18</f>
        <v>0.6</v>
      </c>
      <c r="F103" s="98">
        <f t="shared" ref="F103:Q103" si="13">F101/F18</f>
        <v>0.6</v>
      </c>
      <c r="G103" s="98">
        <f t="shared" si="13"/>
        <v>0.6</v>
      </c>
      <c r="H103" s="98">
        <f t="shared" si="13"/>
        <v>0.6</v>
      </c>
      <c r="I103" s="98">
        <f t="shared" si="13"/>
        <v>0.6</v>
      </c>
      <c r="J103" s="98">
        <f t="shared" si="13"/>
        <v>0.6</v>
      </c>
      <c r="K103" s="98">
        <f t="shared" si="13"/>
        <v>0.6</v>
      </c>
      <c r="L103" s="98">
        <f t="shared" si="13"/>
        <v>0.6</v>
      </c>
      <c r="M103" s="98">
        <f t="shared" si="13"/>
        <v>0.6</v>
      </c>
      <c r="N103" s="98">
        <f t="shared" si="13"/>
        <v>0.6</v>
      </c>
      <c r="O103" s="98">
        <f t="shared" si="13"/>
        <v>0.6</v>
      </c>
      <c r="P103" s="98">
        <f t="shared" si="13"/>
        <v>0.6</v>
      </c>
      <c r="Q103" s="98">
        <f t="shared" si="13"/>
        <v>0.6</v>
      </c>
      <c r="S103" s="108"/>
      <c r="T103" s="40" t="e">
        <f t="shared" ref="T103:T139" si="14">IF(Q103-S103=0,0,(Q103-S103)/S103)</f>
        <v>#DIV/0!</v>
      </c>
    </row>
    <row r="104" spans="1:20" ht="26.25" customHeight="1">
      <c r="D104" s="21" t="s">
        <v>761</v>
      </c>
      <c r="E104" s="67"/>
      <c r="F104" s="99"/>
      <c r="G104" s="67"/>
      <c r="H104" s="100"/>
      <c r="I104" s="67"/>
      <c r="J104" s="99"/>
      <c r="K104" s="67"/>
      <c r="L104" s="102"/>
      <c r="M104" s="67"/>
      <c r="N104" s="99"/>
      <c r="O104" s="103"/>
      <c r="P104" s="103"/>
      <c r="Q104" s="103"/>
      <c r="S104" s="35">
        <v>0</v>
      </c>
      <c r="T104" s="40">
        <f t="shared" si="14"/>
        <v>0</v>
      </c>
    </row>
    <row r="105" spans="1:20" ht="26.25" hidden="1" customHeight="1">
      <c r="D105" s="21" t="s">
        <v>762</v>
      </c>
      <c r="E105" s="67"/>
      <c r="F105" s="99"/>
      <c r="G105" s="67"/>
      <c r="H105" s="100"/>
      <c r="I105" s="67"/>
      <c r="J105" s="99"/>
      <c r="K105" s="67"/>
      <c r="L105" s="102"/>
      <c r="M105" s="67"/>
      <c r="N105" s="99"/>
      <c r="O105" s="103"/>
      <c r="P105" s="103"/>
      <c r="Q105" s="103"/>
      <c r="S105" s="35">
        <v>0</v>
      </c>
      <c r="T105" s="40">
        <f t="shared" si="14"/>
        <v>0</v>
      </c>
    </row>
    <row r="106" spans="1:20" ht="26.25" hidden="1" customHeight="1">
      <c r="A106" s="5" t="s">
        <v>297</v>
      </c>
      <c r="B106" s="5" t="s">
        <v>701</v>
      </c>
      <c r="D106" s="26" t="s">
        <v>763</v>
      </c>
      <c r="E106" s="90">
        <v>0</v>
      </c>
      <c r="F106" s="90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6">
        <f>SUM(E106:P106)</f>
        <v>0</v>
      </c>
      <c r="S106" s="35">
        <v>0</v>
      </c>
      <c r="T106" s="40">
        <f t="shared" si="14"/>
        <v>0</v>
      </c>
    </row>
    <row r="107" spans="1:20" ht="26.25" hidden="1" customHeight="1">
      <c r="A107" s="5" t="s">
        <v>300</v>
      </c>
      <c r="B107" s="5" t="s">
        <v>701</v>
      </c>
      <c r="D107" s="26" t="s">
        <v>764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4">
        <f>SUM(E107:P107)</f>
        <v>0</v>
      </c>
      <c r="S107" s="35">
        <v>0</v>
      </c>
      <c r="T107" s="40">
        <f t="shared" si="14"/>
        <v>0</v>
      </c>
    </row>
    <row r="108" spans="1:20" ht="26.25" hidden="1" customHeight="1">
      <c r="D108" s="21" t="s">
        <v>765</v>
      </c>
      <c r="E108" s="67">
        <f>SUM(E106:E107)</f>
        <v>0</v>
      </c>
      <c r="F108" s="67">
        <f t="shared" ref="F108:Q108" si="15">SUM(F106:F107)</f>
        <v>0</v>
      </c>
      <c r="G108" s="67">
        <f t="shared" si="15"/>
        <v>0</v>
      </c>
      <c r="H108" s="67">
        <f t="shared" si="15"/>
        <v>0</v>
      </c>
      <c r="I108" s="67">
        <f t="shared" si="15"/>
        <v>0</v>
      </c>
      <c r="J108" s="67">
        <f t="shared" si="15"/>
        <v>0</v>
      </c>
      <c r="K108" s="67">
        <f t="shared" si="15"/>
        <v>0</v>
      </c>
      <c r="L108" s="67">
        <f t="shared" si="15"/>
        <v>0</v>
      </c>
      <c r="M108" s="67">
        <f t="shared" si="15"/>
        <v>0</v>
      </c>
      <c r="N108" s="67">
        <f t="shared" si="15"/>
        <v>0</v>
      </c>
      <c r="O108" s="67">
        <f t="shared" si="15"/>
        <v>0</v>
      </c>
      <c r="P108" s="67">
        <f t="shared" si="15"/>
        <v>0</v>
      </c>
      <c r="Q108" s="67">
        <f t="shared" si="15"/>
        <v>0</v>
      </c>
      <c r="S108" s="35">
        <v>0</v>
      </c>
      <c r="T108" s="40">
        <f t="shared" si="14"/>
        <v>0</v>
      </c>
    </row>
    <row r="109" spans="1:20" ht="26.25" hidden="1" customHeight="1">
      <c r="E109" s="67"/>
      <c r="F109" s="99"/>
      <c r="G109" s="67"/>
      <c r="H109" s="100"/>
      <c r="I109" s="67"/>
      <c r="J109" s="99"/>
      <c r="K109" s="67"/>
      <c r="L109" s="102"/>
      <c r="M109" s="67"/>
      <c r="N109" s="99"/>
      <c r="O109" s="103"/>
      <c r="P109" s="103"/>
      <c r="Q109" s="103"/>
      <c r="S109" s="35">
        <v>0</v>
      </c>
      <c r="T109" s="40">
        <f t="shared" si="14"/>
        <v>0</v>
      </c>
    </row>
    <row r="110" spans="1:20" ht="26.25" hidden="1" customHeight="1">
      <c r="A110" s="5" t="s">
        <v>603</v>
      </c>
      <c r="B110" s="5" t="s">
        <v>701</v>
      </c>
      <c r="D110" s="26" t="s">
        <v>766</v>
      </c>
      <c r="E110" s="90">
        <v>0</v>
      </c>
      <c r="F110" s="90">
        <v>0</v>
      </c>
      <c r="G110" s="90">
        <v>0</v>
      </c>
      <c r="H110" s="90">
        <v>0</v>
      </c>
      <c r="I110" s="90">
        <v>0</v>
      </c>
      <c r="J110" s="90">
        <v>0</v>
      </c>
      <c r="K110" s="90">
        <v>0</v>
      </c>
      <c r="L110" s="90">
        <v>0</v>
      </c>
      <c r="M110" s="90">
        <v>0</v>
      </c>
      <c r="N110" s="90">
        <v>0</v>
      </c>
      <c r="O110" s="90">
        <v>0</v>
      </c>
      <c r="P110" s="90">
        <v>0</v>
      </c>
      <c r="Q110" s="96">
        <f>SUM(E110:P110)</f>
        <v>0</v>
      </c>
      <c r="S110" s="35">
        <v>0</v>
      </c>
      <c r="T110" s="40">
        <f t="shared" si="14"/>
        <v>0</v>
      </c>
    </row>
    <row r="111" spans="1:20" ht="26.25" hidden="1" customHeight="1">
      <c r="A111" s="5" t="s">
        <v>310</v>
      </c>
      <c r="B111" s="5" t="s">
        <v>701</v>
      </c>
      <c r="D111" s="26" t="s">
        <v>767</v>
      </c>
      <c r="E111" s="90">
        <v>0</v>
      </c>
      <c r="F111" s="90">
        <v>0</v>
      </c>
      <c r="G111" s="90">
        <v>0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90">
        <v>0</v>
      </c>
      <c r="O111" s="90">
        <v>0</v>
      </c>
      <c r="P111" s="90">
        <v>0</v>
      </c>
      <c r="Q111" s="96">
        <f t="shared" ref="Q111:Q116" si="16">SUM(E111:P111)</f>
        <v>0</v>
      </c>
      <c r="S111" s="35">
        <v>0</v>
      </c>
      <c r="T111" s="40">
        <f t="shared" si="14"/>
        <v>0</v>
      </c>
    </row>
    <row r="112" spans="1:20" ht="26.25" hidden="1" customHeight="1">
      <c r="A112" s="5" t="s">
        <v>604</v>
      </c>
      <c r="B112" s="5" t="s">
        <v>701</v>
      </c>
      <c r="D112" s="26" t="s">
        <v>768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90">
        <v>0</v>
      </c>
      <c r="P112" s="90">
        <v>0</v>
      </c>
      <c r="Q112" s="96">
        <f t="shared" si="16"/>
        <v>0</v>
      </c>
      <c r="S112" s="35">
        <v>0</v>
      </c>
      <c r="T112" s="40">
        <f t="shared" si="14"/>
        <v>0</v>
      </c>
    </row>
    <row r="113" spans="1:20" ht="26.25" hidden="1" customHeight="1">
      <c r="A113" s="5" t="s">
        <v>605</v>
      </c>
      <c r="B113" s="5" t="s">
        <v>701</v>
      </c>
      <c r="D113" s="26" t="s">
        <v>769</v>
      </c>
      <c r="E113" s="90">
        <v>0</v>
      </c>
      <c r="F113" s="90">
        <v>0</v>
      </c>
      <c r="G113" s="90">
        <v>0</v>
      </c>
      <c r="H113" s="90">
        <v>0</v>
      </c>
      <c r="I113" s="90">
        <v>0</v>
      </c>
      <c r="J113" s="90">
        <v>0</v>
      </c>
      <c r="K113" s="90">
        <v>0</v>
      </c>
      <c r="L113" s="90">
        <v>0</v>
      </c>
      <c r="M113" s="90">
        <v>0</v>
      </c>
      <c r="N113" s="90">
        <v>0</v>
      </c>
      <c r="O113" s="90">
        <v>0</v>
      </c>
      <c r="P113" s="90">
        <v>0</v>
      </c>
      <c r="Q113" s="96">
        <f t="shared" si="16"/>
        <v>0</v>
      </c>
      <c r="S113" s="35">
        <v>0</v>
      </c>
      <c r="T113" s="40">
        <f t="shared" si="14"/>
        <v>0</v>
      </c>
    </row>
    <row r="114" spans="1:20" ht="26.25" hidden="1" customHeight="1">
      <c r="A114" s="5" t="s">
        <v>606</v>
      </c>
      <c r="B114" s="5" t="s">
        <v>701</v>
      </c>
      <c r="D114" s="26" t="s">
        <v>770</v>
      </c>
      <c r="E114" s="90">
        <v>0</v>
      </c>
      <c r="F114" s="90">
        <v>0</v>
      </c>
      <c r="G114" s="90">
        <v>0</v>
      </c>
      <c r="H114" s="90">
        <v>0</v>
      </c>
      <c r="I114" s="90">
        <v>0</v>
      </c>
      <c r="J114" s="90">
        <v>0</v>
      </c>
      <c r="K114" s="90">
        <v>0</v>
      </c>
      <c r="L114" s="90">
        <v>0</v>
      </c>
      <c r="M114" s="90">
        <v>0</v>
      </c>
      <c r="N114" s="90">
        <v>0</v>
      </c>
      <c r="O114" s="90">
        <v>0</v>
      </c>
      <c r="P114" s="90">
        <v>0</v>
      </c>
      <c r="Q114" s="113">
        <f t="shared" si="16"/>
        <v>0</v>
      </c>
      <c r="S114" s="35">
        <v>0</v>
      </c>
      <c r="T114" s="40">
        <f t="shared" si="14"/>
        <v>0</v>
      </c>
    </row>
    <row r="115" spans="1:20" ht="26.25" hidden="1" customHeight="1">
      <c r="A115" s="5" t="s">
        <v>1066</v>
      </c>
      <c r="B115" s="5" t="s">
        <v>687</v>
      </c>
      <c r="D115" s="26" t="s">
        <v>1136</v>
      </c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113">
        <f t="shared" si="16"/>
        <v>0</v>
      </c>
      <c r="R115" s="39">
        <f t="shared" ref="R115:R116" si="17">IF($Q$14=0,0,Q115/$Q$14)</f>
        <v>0</v>
      </c>
      <c r="S115" s="35"/>
      <c r="T115" s="40">
        <f t="shared" ref="T115:T116" si="18">-IF(Q115-S115=0,0,(Q115-S115)/S115)</f>
        <v>0</v>
      </c>
    </row>
    <row r="116" spans="1:20" ht="26.25" hidden="1" customHeight="1">
      <c r="A116" s="5" t="s">
        <v>1066</v>
      </c>
      <c r="B116" s="5" t="s">
        <v>687</v>
      </c>
      <c r="D116" s="26" t="s">
        <v>1070</v>
      </c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113">
        <f t="shared" si="16"/>
        <v>0</v>
      </c>
      <c r="R116" s="39">
        <f t="shared" si="17"/>
        <v>0</v>
      </c>
      <c r="S116" s="35"/>
      <c r="T116" s="40">
        <f t="shared" si="18"/>
        <v>0</v>
      </c>
    </row>
    <row r="117" spans="1:20" ht="26.25" hidden="1" customHeight="1">
      <c r="D117" s="21" t="s">
        <v>771</v>
      </c>
      <c r="E117" s="67">
        <f>SUM(E110:E116)</f>
        <v>0</v>
      </c>
      <c r="F117" s="67">
        <f t="shared" ref="F117:Q117" si="19">SUM(F110:F116)</f>
        <v>0</v>
      </c>
      <c r="G117" s="67">
        <f t="shared" si="19"/>
        <v>0</v>
      </c>
      <c r="H117" s="67">
        <f t="shared" si="19"/>
        <v>0</v>
      </c>
      <c r="I117" s="67">
        <f t="shared" si="19"/>
        <v>0</v>
      </c>
      <c r="J117" s="67">
        <f t="shared" si="19"/>
        <v>0</v>
      </c>
      <c r="K117" s="67">
        <f t="shared" si="19"/>
        <v>0</v>
      </c>
      <c r="L117" s="67">
        <f t="shared" si="19"/>
        <v>0</v>
      </c>
      <c r="M117" s="67">
        <f t="shared" si="19"/>
        <v>0</v>
      </c>
      <c r="N117" s="67">
        <f t="shared" si="19"/>
        <v>0</v>
      </c>
      <c r="O117" s="67">
        <f t="shared" si="19"/>
        <v>0</v>
      </c>
      <c r="P117" s="67">
        <f t="shared" si="19"/>
        <v>0</v>
      </c>
      <c r="Q117" s="67">
        <f t="shared" si="19"/>
        <v>0</v>
      </c>
      <c r="S117" s="35">
        <v>0</v>
      </c>
      <c r="T117" s="40">
        <f t="shared" si="14"/>
        <v>0</v>
      </c>
    </row>
    <row r="118" spans="1:20" ht="26.25" hidden="1" customHeight="1">
      <c r="E118" s="67"/>
      <c r="F118" s="99"/>
      <c r="G118" s="67"/>
      <c r="H118" s="100"/>
      <c r="I118" s="67"/>
      <c r="J118" s="99"/>
      <c r="K118" s="67"/>
      <c r="L118" s="102"/>
      <c r="M118" s="67"/>
      <c r="N118" s="99"/>
      <c r="O118" s="103"/>
      <c r="P118" s="103"/>
      <c r="Q118" s="103"/>
      <c r="S118" s="35">
        <v>0</v>
      </c>
      <c r="T118" s="40">
        <f t="shared" si="14"/>
        <v>0</v>
      </c>
    </row>
    <row r="119" spans="1:20" ht="26.25" hidden="1" customHeight="1">
      <c r="A119" s="5" t="s">
        <v>609</v>
      </c>
      <c r="B119" s="5" t="s">
        <v>701</v>
      </c>
      <c r="D119" s="26" t="s">
        <v>772</v>
      </c>
      <c r="E119" s="90">
        <v>0</v>
      </c>
      <c r="F119" s="90">
        <v>0</v>
      </c>
      <c r="G119" s="90">
        <v>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90">
        <v>0</v>
      </c>
      <c r="O119" s="90">
        <v>0</v>
      </c>
      <c r="P119" s="90">
        <v>0</v>
      </c>
      <c r="Q119" s="96">
        <f>SUM(E119:P119)</f>
        <v>0</v>
      </c>
      <c r="S119" s="35">
        <v>0</v>
      </c>
      <c r="T119" s="40">
        <f t="shared" si="14"/>
        <v>0</v>
      </c>
    </row>
    <row r="120" spans="1:20" ht="26.25" hidden="1" customHeight="1">
      <c r="A120" s="5" t="s">
        <v>610</v>
      </c>
      <c r="B120" s="5" t="s">
        <v>701</v>
      </c>
      <c r="D120" s="26" t="s">
        <v>773</v>
      </c>
      <c r="E120" s="90">
        <v>0</v>
      </c>
      <c r="F120" s="90">
        <v>0</v>
      </c>
      <c r="G120" s="90">
        <v>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90">
        <v>0</v>
      </c>
      <c r="O120" s="90">
        <v>0</v>
      </c>
      <c r="P120" s="90">
        <v>0</v>
      </c>
      <c r="Q120" s="96">
        <f t="shared" ref="Q120:Q126" si="20">SUM(E120:P120)</f>
        <v>0</v>
      </c>
      <c r="S120" s="35">
        <v>0</v>
      </c>
      <c r="T120" s="40">
        <f t="shared" si="14"/>
        <v>0</v>
      </c>
    </row>
    <row r="121" spans="1:20" ht="26.25" hidden="1" customHeight="1">
      <c r="A121" s="5" t="s">
        <v>611</v>
      </c>
      <c r="B121" s="5" t="s">
        <v>701</v>
      </c>
      <c r="D121" s="26" t="s">
        <v>774</v>
      </c>
      <c r="E121" s="90">
        <v>0</v>
      </c>
      <c r="F121" s="90">
        <v>0</v>
      </c>
      <c r="G121" s="90">
        <v>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90">
        <v>0</v>
      </c>
      <c r="O121" s="90">
        <v>0</v>
      </c>
      <c r="P121" s="90">
        <v>0</v>
      </c>
      <c r="Q121" s="96">
        <f t="shared" si="20"/>
        <v>0</v>
      </c>
      <c r="S121" s="35">
        <v>0</v>
      </c>
      <c r="T121" s="40">
        <f t="shared" si="14"/>
        <v>0</v>
      </c>
    </row>
    <row r="122" spans="1:20" ht="26.25" hidden="1" customHeight="1">
      <c r="A122" s="5" t="s">
        <v>612</v>
      </c>
      <c r="B122" s="5" t="s">
        <v>701</v>
      </c>
      <c r="D122" s="26" t="s">
        <v>775</v>
      </c>
      <c r="E122" s="90">
        <v>0</v>
      </c>
      <c r="F122" s="90">
        <v>0</v>
      </c>
      <c r="G122" s="90">
        <v>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90">
        <v>0</v>
      </c>
      <c r="O122" s="90">
        <v>0</v>
      </c>
      <c r="P122" s="90">
        <v>0</v>
      </c>
      <c r="Q122" s="96">
        <f t="shared" si="20"/>
        <v>0</v>
      </c>
      <c r="S122" s="35">
        <v>0</v>
      </c>
      <c r="T122" s="40">
        <f t="shared" si="14"/>
        <v>0</v>
      </c>
    </row>
    <row r="123" spans="1:20" ht="26.25" hidden="1" customHeight="1">
      <c r="A123" s="5" t="s">
        <v>613</v>
      </c>
      <c r="B123" s="5" t="s">
        <v>701</v>
      </c>
      <c r="D123" s="26" t="s">
        <v>776</v>
      </c>
      <c r="E123" s="90">
        <v>0</v>
      </c>
      <c r="F123" s="90">
        <v>0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90">
        <v>0</v>
      </c>
      <c r="P123" s="90">
        <v>0</v>
      </c>
      <c r="Q123" s="96">
        <f t="shared" si="20"/>
        <v>0</v>
      </c>
      <c r="S123" s="35">
        <v>0</v>
      </c>
      <c r="T123" s="40">
        <f t="shared" si="14"/>
        <v>0</v>
      </c>
    </row>
    <row r="124" spans="1:20" ht="26.25" hidden="1" customHeight="1">
      <c r="A124" s="5" t="s">
        <v>614</v>
      </c>
      <c r="B124" s="5" t="s">
        <v>701</v>
      </c>
      <c r="D124" s="26" t="s">
        <v>777</v>
      </c>
      <c r="E124" s="90">
        <v>0</v>
      </c>
      <c r="F124" s="90">
        <v>0</v>
      </c>
      <c r="G124" s="90">
        <v>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90">
        <v>0</v>
      </c>
      <c r="O124" s="90">
        <v>0</v>
      </c>
      <c r="P124" s="90">
        <v>0</v>
      </c>
      <c r="Q124" s="96">
        <f t="shared" si="20"/>
        <v>0</v>
      </c>
      <c r="S124" s="35">
        <v>0</v>
      </c>
      <c r="T124" s="40">
        <f t="shared" si="14"/>
        <v>0</v>
      </c>
    </row>
    <row r="125" spans="1:20" ht="26.25" hidden="1" customHeight="1">
      <c r="A125" s="5" t="s">
        <v>615</v>
      </c>
      <c r="B125" s="5" t="s">
        <v>701</v>
      </c>
      <c r="D125" s="26" t="s">
        <v>778</v>
      </c>
      <c r="E125" s="90">
        <v>0</v>
      </c>
      <c r="F125" s="90">
        <v>0</v>
      </c>
      <c r="G125" s="90">
        <v>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  <c r="Q125" s="96">
        <f t="shared" si="20"/>
        <v>0</v>
      </c>
      <c r="S125" s="35">
        <v>0</v>
      </c>
      <c r="T125" s="40">
        <f t="shared" si="14"/>
        <v>0</v>
      </c>
    </row>
    <row r="126" spans="1:20" ht="26.25" hidden="1" customHeight="1">
      <c r="A126" s="5" t="s">
        <v>616</v>
      </c>
      <c r="B126" s="5" t="s">
        <v>701</v>
      </c>
      <c r="D126" s="26" t="s">
        <v>779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4">
        <f t="shared" si="20"/>
        <v>0</v>
      </c>
      <c r="S126" s="35">
        <v>0</v>
      </c>
      <c r="T126" s="40">
        <f t="shared" si="14"/>
        <v>0</v>
      </c>
    </row>
    <row r="127" spans="1:20" ht="26.25" hidden="1" customHeight="1">
      <c r="D127" s="21" t="s">
        <v>780</v>
      </c>
      <c r="E127" s="90">
        <f>SUM(E119:E126)</f>
        <v>0</v>
      </c>
      <c r="F127" s="90">
        <f t="shared" ref="F127:Q127" si="21">SUM(F119:F126)</f>
        <v>0</v>
      </c>
      <c r="G127" s="90">
        <f t="shared" si="21"/>
        <v>0</v>
      </c>
      <c r="H127" s="90">
        <f t="shared" si="21"/>
        <v>0</v>
      </c>
      <c r="I127" s="90">
        <f t="shared" si="21"/>
        <v>0</v>
      </c>
      <c r="J127" s="90">
        <f t="shared" si="21"/>
        <v>0</v>
      </c>
      <c r="K127" s="90">
        <f t="shared" si="21"/>
        <v>0</v>
      </c>
      <c r="L127" s="90">
        <f t="shared" si="21"/>
        <v>0</v>
      </c>
      <c r="M127" s="90">
        <f t="shared" si="21"/>
        <v>0</v>
      </c>
      <c r="N127" s="90">
        <f t="shared" si="21"/>
        <v>0</v>
      </c>
      <c r="O127" s="90">
        <f t="shared" si="21"/>
        <v>0</v>
      </c>
      <c r="P127" s="90">
        <f t="shared" si="21"/>
        <v>0</v>
      </c>
      <c r="Q127" s="90">
        <f t="shared" si="21"/>
        <v>0</v>
      </c>
      <c r="S127" s="35">
        <v>0</v>
      </c>
      <c r="T127" s="40">
        <f t="shared" si="14"/>
        <v>0</v>
      </c>
    </row>
    <row r="128" spans="1:20" ht="26.25" hidden="1" customHeight="1">
      <c r="E128" s="67"/>
      <c r="F128" s="99"/>
      <c r="G128" s="67"/>
      <c r="H128" s="100"/>
      <c r="I128" s="67"/>
      <c r="J128" s="99"/>
      <c r="K128" s="67"/>
      <c r="L128" s="102"/>
      <c r="M128" s="67"/>
      <c r="N128" s="99"/>
      <c r="O128" s="103"/>
      <c r="P128" s="103"/>
      <c r="Q128" s="103"/>
      <c r="S128" s="35">
        <v>0</v>
      </c>
      <c r="T128" s="40">
        <f t="shared" si="14"/>
        <v>0</v>
      </c>
    </row>
    <row r="129" spans="1:20" ht="26.25" hidden="1" customHeight="1">
      <c r="A129" s="5" t="s">
        <v>617</v>
      </c>
      <c r="B129" s="5" t="s">
        <v>701</v>
      </c>
      <c r="D129" s="26" t="s">
        <v>781</v>
      </c>
      <c r="E129" s="90">
        <v>0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90">
        <v>0</v>
      </c>
      <c r="O129" s="90">
        <v>0</v>
      </c>
      <c r="P129" s="90">
        <v>0</v>
      </c>
      <c r="Q129" s="96">
        <f t="shared" ref="Q129:Q135" si="22">SUM(E129:P129)</f>
        <v>0</v>
      </c>
      <c r="S129" s="35">
        <v>0</v>
      </c>
      <c r="T129" s="40">
        <f t="shared" si="14"/>
        <v>0</v>
      </c>
    </row>
    <row r="130" spans="1:20" ht="26.25" hidden="1" customHeight="1">
      <c r="A130" s="5" t="s">
        <v>618</v>
      </c>
      <c r="B130" s="5" t="s">
        <v>701</v>
      </c>
      <c r="D130" s="26" t="s">
        <v>782</v>
      </c>
      <c r="E130" s="90">
        <v>0</v>
      </c>
      <c r="F130" s="90">
        <v>0</v>
      </c>
      <c r="G130" s="90">
        <v>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90">
        <v>0</v>
      </c>
      <c r="O130" s="90">
        <v>0</v>
      </c>
      <c r="P130" s="90">
        <v>0</v>
      </c>
      <c r="Q130" s="96">
        <f t="shared" si="22"/>
        <v>0</v>
      </c>
      <c r="S130" s="35">
        <v>0</v>
      </c>
      <c r="T130" s="40">
        <f t="shared" si="14"/>
        <v>0</v>
      </c>
    </row>
    <row r="131" spans="1:20" ht="26.25" hidden="1" customHeight="1">
      <c r="A131" s="5" t="s">
        <v>619</v>
      </c>
      <c r="B131" s="5" t="s">
        <v>701</v>
      </c>
      <c r="D131" s="26" t="s">
        <v>783</v>
      </c>
      <c r="E131" s="90">
        <v>0</v>
      </c>
      <c r="F131" s="90">
        <v>0</v>
      </c>
      <c r="G131" s="90">
        <v>0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90">
        <v>0</v>
      </c>
      <c r="O131" s="90">
        <v>0</v>
      </c>
      <c r="P131" s="90">
        <v>0</v>
      </c>
      <c r="Q131" s="96">
        <f t="shared" si="22"/>
        <v>0</v>
      </c>
      <c r="S131" s="35">
        <v>0</v>
      </c>
      <c r="T131" s="40">
        <f t="shared" si="14"/>
        <v>0</v>
      </c>
    </row>
    <row r="132" spans="1:20" ht="26.25" hidden="1" customHeight="1">
      <c r="A132" s="5" t="s">
        <v>620</v>
      </c>
      <c r="B132" s="5" t="s">
        <v>701</v>
      </c>
      <c r="D132" s="26" t="s">
        <v>784</v>
      </c>
      <c r="E132" s="90">
        <v>0</v>
      </c>
      <c r="F132" s="90">
        <v>0</v>
      </c>
      <c r="G132" s="90">
        <v>0</v>
      </c>
      <c r="H132" s="90">
        <v>0</v>
      </c>
      <c r="I132" s="90">
        <v>0</v>
      </c>
      <c r="J132" s="90">
        <v>0</v>
      </c>
      <c r="K132" s="90">
        <v>0</v>
      </c>
      <c r="L132" s="90">
        <v>0</v>
      </c>
      <c r="M132" s="90">
        <v>0</v>
      </c>
      <c r="N132" s="90">
        <v>0</v>
      </c>
      <c r="O132" s="90">
        <v>0</v>
      </c>
      <c r="P132" s="90">
        <v>0</v>
      </c>
      <c r="Q132" s="96">
        <f t="shared" si="22"/>
        <v>0</v>
      </c>
      <c r="S132" s="35">
        <v>0</v>
      </c>
      <c r="T132" s="40">
        <f t="shared" si="14"/>
        <v>0</v>
      </c>
    </row>
    <row r="133" spans="1:20" ht="26.25" hidden="1" customHeight="1">
      <c r="A133" s="5" t="s">
        <v>621</v>
      </c>
      <c r="B133" s="5" t="s">
        <v>701</v>
      </c>
      <c r="D133" s="26" t="s">
        <v>785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0">
        <v>0</v>
      </c>
      <c r="L133" s="90">
        <v>0</v>
      </c>
      <c r="M133" s="90">
        <v>0</v>
      </c>
      <c r="N133" s="90">
        <v>0</v>
      </c>
      <c r="O133" s="90">
        <v>0</v>
      </c>
      <c r="P133" s="90">
        <v>0</v>
      </c>
      <c r="Q133" s="96">
        <f t="shared" si="22"/>
        <v>0</v>
      </c>
      <c r="S133" s="35">
        <v>0</v>
      </c>
      <c r="T133" s="40">
        <f t="shared" si="14"/>
        <v>0</v>
      </c>
    </row>
    <row r="134" spans="1:20" ht="26.25" hidden="1" customHeight="1">
      <c r="A134" s="5" t="s">
        <v>346</v>
      </c>
      <c r="B134" s="5" t="s">
        <v>701</v>
      </c>
      <c r="D134" s="26" t="s">
        <v>786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0">
        <v>0</v>
      </c>
      <c r="L134" s="90">
        <v>0</v>
      </c>
      <c r="M134" s="90">
        <v>0</v>
      </c>
      <c r="N134" s="90">
        <v>0</v>
      </c>
      <c r="O134" s="90">
        <v>0</v>
      </c>
      <c r="P134" s="90">
        <v>0</v>
      </c>
      <c r="Q134" s="96">
        <f t="shared" si="22"/>
        <v>0</v>
      </c>
      <c r="S134" s="35">
        <v>0</v>
      </c>
      <c r="T134" s="40">
        <f t="shared" si="14"/>
        <v>0</v>
      </c>
    </row>
    <row r="135" spans="1:20" ht="26.25" hidden="1" customHeight="1">
      <c r="A135" s="5" t="s">
        <v>624</v>
      </c>
      <c r="B135" s="5" t="s">
        <v>701</v>
      </c>
      <c r="D135" s="26" t="s">
        <v>787</v>
      </c>
      <c r="E135" s="90">
        <v>0</v>
      </c>
      <c r="F135" s="90">
        <v>0</v>
      </c>
      <c r="G135" s="90">
        <v>0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90">
        <v>0</v>
      </c>
      <c r="O135" s="90">
        <v>0</v>
      </c>
      <c r="P135" s="90">
        <v>0</v>
      </c>
      <c r="Q135" s="96">
        <f t="shared" si="22"/>
        <v>0</v>
      </c>
      <c r="S135" s="35">
        <v>0</v>
      </c>
      <c r="T135" s="40">
        <f t="shared" si="14"/>
        <v>0</v>
      </c>
    </row>
    <row r="136" spans="1:20" ht="26.25" hidden="1" customHeight="1">
      <c r="D136" s="26" t="s">
        <v>788</v>
      </c>
      <c r="E136" s="112">
        <v>0</v>
      </c>
      <c r="F136" s="112">
        <v>0</v>
      </c>
      <c r="G136" s="112">
        <v>0</v>
      </c>
      <c r="H136" s="112">
        <v>0</v>
      </c>
      <c r="I136" s="112">
        <v>0</v>
      </c>
      <c r="J136" s="112">
        <v>0</v>
      </c>
      <c r="K136" s="112">
        <v>0</v>
      </c>
      <c r="L136" s="112">
        <v>0</v>
      </c>
      <c r="M136" s="112">
        <v>0</v>
      </c>
      <c r="N136" s="112">
        <v>0</v>
      </c>
      <c r="O136" s="112">
        <v>0</v>
      </c>
      <c r="P136" s="112">
        <v>0</v>
      </c>
      <c r="Q136" s="116">
        <f t="shared" ref="Q136" si="23">SUM(Q129:Q135)</f>
        <v>0</v>
      </c>
      <c r="S136" s="35">
        <v>0</v>
      </c>
      <c r="T136" s="40">
        <f t="shared" si="14"/>
        <v>0</v>
      </c>
    </row>
    <row r="137" spans="1:20" ht="26.25" customHeight="1">
      <c r="D137" s="21" t="s">
        <v>789</v>
      </c>
      <c r="E137" s="115">
        <f>E108+E117+E127+E136</f>
        <v>0</v>
      </c>
      <c r="F137" s="115">
        <f t="shared" ref="F137:Q137" si="24">F108+F117+F127+F136</f>
        <v>0</v>
      </c>
      <c r="G137" s="115">
        <f t="shared" si="24"/>
        <v>0</v>
      </c>
      <c r="H137" s="115">
        <f t="shared" si="24"/>
        <v>0</v>
      </c>
      <c r="I137" s="115">
        <f t="shared" si="24"/>
        <v>0</v>
      </c>
      <c r="J137" s="115">
        <f t="shared" si="24"/>
        <v>0</v>
      </c>
      <c r="K137" s="115">
        <f t="shared" si="24"/>
        <v>0</v>
      </c>
      <c r="L137" s="115">
        <f t="shared" si="24"/>
        <v>0</v>
      </c>
      <c r="M137" s="115">
        <f t="shared" si="24"/>
        <v>0</v>
      </c>
      <c r="N137" s="115">
        <f t="shared" si="24"/>
        <v>0</v>
      </c>
      <c r="O137" s="115">
        <f t="shared" si="24"/>
        <v>0</v>
      </c>
      <c r="P137" s="115">
        <f t="shared" si="24"/>
        <v>0</v>
      </c>
      <c r="Q137" s="115">
        <f t="shared" si="24"/>
        <v>0</v>
      </c>
      <c r="S137" s="35">
        <v>0</v>
      </c>
      <c r="T137" s="40">
        <f t="shared" si="14"/>
        <v>0</v>
      </c>
    </row>
    <row r="138" spans="1:20" ht="26.25" customHeight="1">
      <c r="D138" s="21"/>
      <c r="E138" s="67"/>
      <c r="F138" s="99"/>
      <c r="G138" s="67"/>
      <c r="H138" s="100"/>
      <c r="I138" s="67"/>
      <c r="J138" s="99"/>
      <c r="K138" s="67"/>
      <c r="L138" s="102"/>
      <c r="M138" s="67"/>
      <c r="N138" s="99"/>
      <c r="O138" s="103"/>
      <c r="P138" s="103"/>
      <c r="Q138" s="103"/>
      <c r="S138" s="35">
        <v>0</v>
      </c>
      <c r="T138" s="40">
        <f t="shared" si="14"/>
        <v>0</v>
      </c>
    </row>
    <row r="139" spans="1:20" ht="26.25" customHeight="1">
      <c r="A139" s="5" t="s">
        <v>108</v>
      </c>
      <c r="B139" s="5" t="s">
        <v>701</v>
      </c>
      <c r="D139" s="21" t="s">
        <v>790</v>
      </c>
      <c r="E139" s="92">
        <v>0</v>
      </c>
      <c r="F139" s="92">
        <v>0</v>
      </c>
      <c r="G139" s="92">
        <v>0</v>
      </c>
      <c r="H139" s="92">
        <v>0</v>
      </c>
      <c r="I139" s="92">
        <v>0</v>
      </c>
      <c r="J139" s="92">
        <v>0</v>
      </c>
      <c r="K139" s="92">
        <v>0</v>
      </c>
      <c r="L139" s="92">
        <v>0</v>
      </c>
      <c r="M139" s="92">
        <v>0</v>
      </c>
      <c r="N139" s="92">
        <v>0</v>
      </c>
      <c r="O139" s="92">
        <v>0</v>
      </c>
      <c r="P139" s="92">
        <v>0</v>
      </c>
      <c r="Q139" s="92">
        <v>0</v>
      </c>
      <c r="S139" s="35">
        <v>0</v>
      </c>
      <c r="T139" s="40">
        <f t="shared" si="14"/>
        <v>0</v>
      </c>
    </row>
  </sheetData>
  <phoneticPr fontId="56" type="noConversion"/>
  <dataValidations count="22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-9321.38_x000d__x000a_" sqref="F102">
      <formula1>0</formula1>
      <formula2>300</formula2>
    </dataValidation>
    <dataValidation type="textLength" errorStyle="information" allowBlank="1" showInputMessage="1" showErrorMessage="1" error="XLBVal:2=0_x000d__x000a_" sqref="E12:P12 E29:Q29 E139:P139 Q12:Q17 Q21:Q28 Q30:Q100 Q129:Q135 E23:P26 E106:Q107 E14:P17 E129:P136 E20:P21 E119:Q127 E32:P100 E110:Q114 Q115:Q116">
      <formula1>0</formula1>
      <formula2>300</formula2>
    </dataValidation>
    <dataValidation type="textLength" errorStyle="information" allowBlank="1" showInputMessage="1" showErrorMessage="1" error="XLBVal:6=11094.72_x000d__x000a_" sqref="E13:P13">
      <formula1>0</formula1>
      <formula2>300</formula2>
    </dataValidation>
    <dataValidation type="textLength" errorStyle="information" allowBlank="1" showInputMessage="1" showErrorMessage="1" error="XLBVal:6=28280_x000d__x000a_" sqref="Q20">
      <formula1>0</formula1>
      <formula2>300</formula2>
    </dataValidation>
    <dataValidation type="textLength" errorStyle="information" allowBlank="1" showInputMessage="1" showErrorMessage="1" error="XLBVal:6=218.17_x000d__x000a_" sqref="E22:P22">
      <formula1>0</formula1>
      <formula2>300</formula2>
    </dataValidation>
    <dataValidation type="textLength" errorStyle="information" allowBlank="1" showInputMessage="1" showErrorMessage="1" error="XLBVal:6=-16002.39_x000d__x000a_" sqref="G102">
      <formula1>0</formula1>
      <formula2>300</formula2>
    </dataValidation>
    <dataValidation type="textLength" errorStyle="information" allowBlank="1" showInputMessage="1" showErrorMessage="1" error="XLBVal:6=-12013.73_x000d__x000a_" sqref="E102">
      <formula1>0</formula1>
      <formula2>300</formula2>
    </dataValidation>
    <dataValidation type="textLength" errorStyle="information" allowBlank="1" showInputMessage="1" showErrorMessage="1" error="XLBVal:6=-17310.98_x000d__x000a_" sqref="H102">
      <formula1>0</formula1>
      <formula2>300</formula2>
    </dataValidation>
    <dataValidation type="textLength" errorStyle="information" allowBlank="1" showInputMessage="1" showErrorMessage="1" error="XLBVal:6=-16095.48_x000d__x000a_" sqref="I102">
      <formula1>0</formula1>
      <formula2>300</formula2>
    </dataValidation>
    <dataValidation type="textLength" errorStyle="information" allowBlank="1" showInputMessage="1" showErrorMessage="1" error="XLBVal:6=-17442.31_x000d__x000a_" sqref="J102">
      <formula1>0</formula1>
      <formula2>300</formula2>
    </dataValidation>
    <dataValidation type="textLength" errorStyle="information" allowBlank="1" showInputMessage="1" showErrorMessage="1" error="XLBVal:6=-17132.66_x000d__x000a_" sqref="K102">
      <formula1>0</formula1>
      <formula2>300</formula2>
    </dataValidation>
    <dataValidation type="textLength" errorStyle="information" allowBlank="1" showInputMessage="1" showErrorMessage="1" error="XLBVal:6=-19507.39_x000d__x000a_" sqref="L102">
      <formula1>0</formula1>
      <formula2>300</formula2>
    </dataValidation>
    <dataValidation type="textLength" errorStyle="information" allowBlank="1" showInputMessage="1" showErrorMessage="1" error="XLBVal:6=-16740.54_x000d__x000a_" sqref="M102">
      <formula1>0</formula1>
      <formula2>300</formula2>
    </dataValidation>
    <dataValidation type="textLength" errorStyle="information" allowBlank="1" showInputMessage="1" showErrorMessage="1" error="XLBVal:6=-18292.14_x000d__x000a_" sqref="N102">
      <formula1>0</formula1>
      <formula2>300</formula2>
    </dataValidation>
    <dataValidation type="textLength" errorStyle="information" allowBlank="1" showInputMessage="1" showErrorMessage="1" error="XLBVal:6=-16021.9_x000d__x000a_" sqref="O102">
      <formula1>0</formula1>
      <formula2>300</formula2>
    </dataValidation>
    <dataValidation type="textLength" errorStyle="information" allowBlank="1" showInputMessage="1" showErrorMessage="1" error="XLBVal:6=-11564.82_x000d__x000a_" sqref="P102">
      <formula1>0</formula1>
      <formula2>300</formula2>
    </dataValidation>
    <dataValidation type="textLength" errorStyle="information" allowBlank="1" showInputMessage="1" showErrorMessage="1" error="XLBVal:6=-157160.04_x000d__x000a_" sqref="Q102">
      <formula1>0</formula1>
      <formula2>300</formula2>
    </dataValidation>
    <dataValidation type="textLength" errorStyle="information" allowBlank="1" showInputMessage="1" showErrorMessage="1" error="XLBVal:6=0_x000d__x000a_" sqref="Q139">
      <formula1>0</formula1>
      <formula2>300</formula2>
    </dataValidation>
    <dataValidation type="textLength" errorStyle="information" allowBlank="1" showInputMessage="1" showErrorMessage="1" error="XLBVal:6=6688509.16_x000d__x000a_" sqref="E18:Q19">
      <formula1>0</formula1>
      <formula2>300</formula2>
    </dataValidation>
    <dataValidation type="textLength" errorStyle="information" allowBlank="1" showInputMessage="1" showErrorMessage="1" error="XLBVal:6=3239.86_x000d__x000a_" sqref="E30:P31 E27:P28">
      <formula1>0</formula1>
      <formula2>300</formula2>
    </dataValidation>
    <dataValidation type="textLength" errorStyle="information" allowBlank="1" showInputMessage="1" showErrorMessage="1" error="XLBVal:6=800_x000d__x000a_" sqref="E115:P116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T152"/>
  <sheetViews>
    <sheetView topLeftCell="D1" zoomScale="50" zoomScaleNormal="50" zoomScaleSheetLayoutView="40" workbookViewId="0">
      <pane xSplit="1" ySplit="10" topLeftCell="E11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89.08984375" style="6" customWidth="1" collapsed="1"/>
    <col min="5" max="5" width="15.453125" style="7" customWidth="1"/>
    <col min="6" max="6" width="15.453125" style="82" customWidth="1"/>
    <col min="7" max="7" width="15.453125" style="7" customWidth="1"/>
    <col min="8" max="8" width="15.453125" style="6" customWidth="1"/>
    <col min="9" max="9" width="15.453125" style="7" customWidth="1"/>
    <col min="10" max="10" width="15.453125" style="82" customWidth="1"/>
    <col min="11" max="11" width="15.453125" style="7" customWidth="1"/>
    <col min="12" max="12" width="15.453125" style="83" customWidth="1"/>
    <col min="13" max="13" width="15.453125" style="7" customWidth="1"/>
    <col min="14" max="14" width="15.453125" style="82" customWidth="1"/>
    <col min="15" max="16" width="15.453125" style="5" customWidth="1"/>
    <col min="17" max="17" width="18.90625" style="5" customWidth="1"/>
    <col min="18" max="18" width="8.90625" style="5"/>
    <col min="19" max="19" width="22.453125" style="8" customWidth="1"/>
    <col min="20" max="20" width="22.453125" style="5" customWidth="1"/>
    <col min="21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5.4" customHeight="1">
      <c r="D6" s="14" t="s">
        <v>826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51">
        <v>36800100</v>
      </c>
      <c r="B12" s="3" t="s">
        <v>684</v>
      </c>
      <c r="C12" s="49">
        <v>2606</v>
      </c>
      <c r="D12" s="3" t="s">
        <v>827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>
        <f>SUM(E12:P12)</f>
        <v>0</v>
      </c>
      <c r="S12" s="35"/>
      <c r="T12" s="40">
        <f>IF(Q12-S12=0,0,(Q12-S12)/S12)</f>
        <v>0</v>
      </c>
    </row>
    <row r="13" spans="1:20" s="3" customFormat="1" ht="25.4" customHeight="1">
      <c r="A13" s="51">
        <v>36800100</v>
      </c>
      <c r="B13" s="3" t="s">
        <v>684</v>
      </c>
      <c r="C13" s="49">
        <v>2699</v>
      </c>
      <c r="D13" s="26" t="s">
        <v>828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>
        <f t="shared" ref="Q13:Q20" si="0">SUM(E13:P13)</f>
        <v>0</v>
      </c>
      <c r="S13" s="35"/>
      <c r="T13" s="40">
        <f t="shared" ref="T13:T76" si="1">IF(Q13-S13=0,0,(Q13-S13)/S13)</f>
        <v>0</v>
      </c>
    </row>
    <row r="14" spans="1:20" s="3" customFormat="1" ht="25.4" hidden="1" customHeight="1">
      <c r="A14" s="51">
        <v>36800100</v>
      </c>
      <c r="B14" s="3" t="s">
        <v>684</v>
      </c>
      <c r="C14" s="49">
        <v>2603</v>
      </c>
      <c r="D14" s="26" t="s">
        <v>829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>
        <f t="shared" si="0"/>
        <v>0</v>
      </c>
      <c r="S14" s="35"/>
      <c r="T14" s="40">
        <f>IF(S14&lt;&gt;0,(Q14-S14)/S14,1)</f>
        <v>1</v>
      </c>
    </row>
    <row r="15" spans="1:20" s="3" customFormat="1" ht="25.4" customHeight="1">
      <c r="A15" s="51">
        <v>36800100</v>
      </c>
      <c r="B15" s="3" t="s">
        <v>684</v>
      </c>
      <c r="C15" s="49">
        <v>2601</v>
      </c>
      <c r="D15" s="72" t="s">
        <v>830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>
        <f t="shared" si="0"/>
        <v>0</v>
      </c>
      <c r="S15" s="35"/>
      <c r="T15" s="40">
        <f t="shared" si="1"/>
        <v>0</v>
      </c>
    </row>
    <row r="16" spans="1:20" s="3" customFormat="1" ht="25.4" hidden="1" customHeight="1">
      <c r="A16" s="51">
        <v>36800100</v>
      </c>
      <c r="B16" s="3" t="s">
        <v>684</v>
      </c>
      <c r="C16" s="49">
        <v>2699</v>
      </c>
      <c r="D16" s="26" t="s">
        <v>831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>
        <f t="shared" si="0"/>
        <v>0</v>
      </c>
      <c r="S16" s="35"/>
      <c r="T16" s="40">
        <f>IF(S16&lt;&gt;0,(Q16-S16)/S16,1)</f>
        <v>1</v>
      </c>
    </row>
    <row r="17" spans="1:20" s="3" customFormat="1" ht="25.4" hidden="1" customHeight="1">
      <c r="A17" s="51">
        <v>36800100</v>
      </c>
      <c r="B17" s="3" t="s">
        <v>684</v>
      </c>
      <c r="C17" s="49">
        <v>2602</v>
      </c>
      <c r="D17" s="26" t="s">
        <v>832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>
        <f t="shared" si="0"/>
        <v>0</v>
      </c>
      <c r="S17" s="35"/>
      <c r="T17" s="40">
        <f t="shared" si="1"/>
        <v>0</v>
      </c>
    </row>
    <row r="18" spans="1:20" s="3" customFormat="1" ht="25.4" hidden="1" customHeight="1">
      <c r="A18" s="51">
        <v>36800100</v>
      </c>
      <c r="B18" s="3" t="s">
        <v>684</v>
      </c>
      <c r="C18" s="49">
        <v>2605</v>
      </c>
      <c r="D18" s="26" t="s">
        <v>833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>
        <f t="shared" si="0"/>
        <v>0</v>
      </c>
      <c r="S18" s="35"/>
      <c r="T18" s="40">
        <f>IF(S18&lt;&gt;0,(Q18-S18)/S18,1)</f>
        <v>1</v>
      </c>
    </row>
    <row r="19" spans="1:20" s="3" customFormat="1" ht="25.4" customHeight="1">
      <c r="A19" s="51">
        <v>36800100</v>
      </c>
      <c r="B19" s="3" t="s">
        <v>684</v>
      </c>
      <c r="C19" s="49">
        <v>2607</v>
      </c>
      <c r="D19" s="26" t="s">
        <v>834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>
        <f t="shared" si="0"/>
        <v>0</v>
      </c>
      <c r="S19" s="35"/>
      <c r="T19" s="40">
        <f t="shared" si="1"/>
        <v>0</v>
      </c>
    </row>
    <row r="20" spans="1:20" s="3" customFormat="1" ht="25.4" customHeight="1">
      <c r="A20" s="51" t="s">
        <v>747</v>
      </c>
      <c r="B20" s="3" t="s">
        <v>684</v>
      </c>
      <c r="D20" s="26" t="s">
        <v>748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>
        <f t="shared" si="0"/>
        <v>0</v>
      </c>
      <c r="S20" s="35"/>
      <c r="T20" s="40">
        <f>IF(S20&lt;&gt;0,(Q20-S20)/S20,1)</f>
        <v>1</v>
      </c>
    </row>
    <row r="21" spans="1:20" s="3" customFormat="1" ht="25.4" customHeight="1">
      <c r="D21" s="21" t="s">
        <v>655</v>
      </c>
      <c r="E21" s="30">
        <f>SUM(E12:E20)</f>
        <v>0</v>
      </c>
      <c r="F21" s="30">
        <f t="shared" ref="F21:P21" si="2">SUM(F12:F20)</f>
        <v>0</v>
      </c>
      <c r="G21" s="30">
        <f t="shared" si="2"/>
        <v>0</v>
      </c>
      <c r="H21" s="30">
        <f t="shared" si="2"/>
        <v>0</v>
      </c>
      <c r="I21" s="30">
        <f t="shared" si="2"/>
        <v>0</v>
      </c>
      <c r="J21" s="30">
        <f t="shared" si="2"/>
        <v>0</v>
      </c>
      <c r="K21" s="30">
        <f t="shared" si="2"/>
        <v>0</v>
      </c>
      <c r="L21" s="30">
        <f t="shared" si="2"/>
        <v>0</v>
      </c>
      <c r="M21" s="30">
        <f t="shared" si="2"/>
        <v>0</v>
      </c>
      <c r="N21" s="30">
        <f t="shared" si="2"/>
        <v>0</v>
      </c>
      <c r="O21" s="30">
        <f t="shared" si="2"/>
        <v>0</v>
      </c>
      <c r="P21" s="30">
        <f t="shared" si="2"/>
        <v>0</v>
      </c>
      <c r="Q21" s="30">
        <f t="shared" ref="Q21" si="3">SUM(Q12:Q20)</f>
        <v>0</v>
      </c>
      <c r="S21" s="35"/>
      <c r="T21" s="40">
        <f t="shared" si="1"/>
        <v>0</v>
      </c>
    </row>
    <row r="22" spans="1:20" s="3" customFormat="1" ht="25.4" customHeight="1">
      <c r="D22" s="21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S22" s="35"/>
      <c r="T22" s="40"/>
    </row>
    <row r="23" spans="1:20" s="3" customFormat="1" ht="25.4" customHeight="1">
      <c r="D23" s="21" t="s">
        <v>411</v>
      </c>
      <c r="E23" s="27"/>
      <c r="F23" s="89"/>
      <c r="G23" s="27"/>
      <c r="H23" s="89"/>
      <c r="I23" s="27"/>
      <c r="J23" s="89"/>
      <c r="K23" s="27"/>
      <c r="L23" s="89"/>
      <c r="M23" s="27"/>
      <c r="N23" s="89"/>
      <c r="O23" s="96"/>
      <c r="P23" s="96"/>
      <c r="Q23" s="96"/>
      <c r="S23" s="35"/>
      <c r="T23" s="40"/>
    </row>
    <row r="24" spans="1:20" s="3" customFormat="1" ht="25.4" hidden="1" customHeight="1">
      <c r="A24" s="3" t="s">
        <v>749</v>
      </c>
      <c r="B24" s="3" t="s">
        <v>684</v>
      </c>
      <c r="C24" s="49">
        <v>2606</v>
      </c>
      <c r="D24" s="26" t="s">
        <v>835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6">
        <f>SUM(E24:P24)</f>
        <v>0</v>
      </c>
      <c r="R24" s="114" t="e">
        <f t="shared" ref="R24:R40" si="4">Q24/$Q$21</f>
        <v>#DIV/0!</v>
      </c>
      <c r="S24" s="35"/>
      <c r="T24" s="40">
        <f t="shared" si="1"/>
        <v>0</v>
      </c>
    </row>
    <row r="25" spans="1:20" s="3" customFormat="1" ht="25.4" hidden="1" customHeight="1">
      <c r="A25" s="3" t="s">
        <v>749</v>
      </c>
      <c r="B25" s="3" t="s">
        <v>684</v>
      </c>
      <c r="C25" s="49">
        <v>2606</v>
      </c>
      <c r="D25" s="26" t="s">
        <v>720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6">
        <f t="shared" ref="Q25:Q40" si="5">SUM(E25:P25)</f>
        <v>0</v>
      </c>
      <c r="R25" s="114" t="e">
        <f t="shared" si="4"/>
        <v>#DIV/0!</v>
      </c>
      <c r="S25" s="35"/>
      <c r="T25" s="40">
        <f t="shared" si="1"/>
        <v>0</v>
      </c>
    </row>
    <row r="26" spans="1:20" s="3" customFormat="1" ht="25.4" hidden="1" customHeight="1">
      <c r="A26" s="3" t="s">
        <v>749</v>
      </c>
      <c r="B26" s="3" t="s">
        <v>684</v>
      </c>
      <c r="C26" s="49">
        <v>2699</v>
      </c>
      <c r="D26" s="26" t="s">
        <v>722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6">
        <f t="shared" si="5"/>
        <v>0</v>
      </c>
      <c r="R26" s="114" t="e">
        <f t="shared" si="4"/>
        <v>#DIV/0!</v>
      </c>
      <c r="S26" s="35"/>
      <c r="T26" s="40">
        <f t="shared" si="1"/>
        <v>0</v>
      </c>
    </row>
    <row r="27" spans="1:20" s="3" customFormat="1" ht="25.4" hidden="1" customHeight="1">
      <c r="A27" s="3" t="s">
        <v>749</v>
      </c>
      <c r="B27" s="3" t="s">
        <v>684</v>
      </c>
      <c r="C27" s="49">
        <v>2603</v>
      </c>
      <c r="D27" s="72" t="s">
        <v>724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6">
        <f t="shared" si="5"/>
        <v>0</v>
      </c>
      <c r="R27" s="114" t="e">
        <f t="shared" si="4"/>
        <v>#DIV/0!</v>
      </c>
      <c r="S27" s="35"/>
      <c r="T27" s="40">
        <f t="shared" si="1"/>
        <v>0</v>
      </c>
    </row>
    <row r="28" spans="1:20" s="3" customFormat="1" ht="25.4" hidden="1" customHeight="1">
      <c r="A28" s="3" t="s">
        <v>749</v>
      </c>
      <c r="B28" s="3" t="s">
        <v>684</v>
      </c>
      <c r="C28" s="49">
        <v>2601</v>
      </c>
      <c r="D28" s="26" t="s">
        <v>752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6">
        <f t="shared" si="5"/>
        <v>0</v>
      </c>
      <c r="R28" s="114" t="e">
        <f t="shared" si="4"/>
        <v>#DIV/0!</v>
      </c>
      <c r="S28" s="35"/>
      <c r="T28" s="40">
        <f t="shared" si="1"/>
        <v>0</v>
      </c>
    </row>
    <row r="29" spans="1:20" s="3" customFormat="1" ht="25.4" hidden="1" customHeight="1">
      <c r="A29" s="3" t="s">
        <v>749</v>
      </c>
      <c r="B29" s="3" t="s">
        <v>684</v>
      </c>
      <c r="C29" s="49">
        <v>2699</v>
      </c>
      <c r="D29" s="26" t="s">
        <v>728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6">
        <f t="shared" si="5"/>
        <v>0</v>
      </c>
      <c r="R29" s="114" t="e">
        <f t="shared" si="4"/>
        <v>#DIV/0!</v>
      </c>
      <c r="S29" s="35"/>
      <c r="T29" s="40">
        <f t="shared" si="1"/>
        <v>0</v>
      </c>
    </row>
    <row r="30" spans="1:20" s="3" customFormat="1" ht="25.4" hidden="1" customHeight="1">
      <c r="A30" s="3" t="s">
        <v>749</v>
      </c>
      <c r="B30" s="3" t="s">
        <v>684</v>
      </c>
      <c r="C30" s="49">
        <v>2699</v>
      </c>
      <c r="D30" s="26" t="s">
        <v>730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6">
        <f t="shared" si="5"/>
        <v>0</v>
      </c>
      <c r="R30" s="114" t="e">
        <f t="shared" si="4"/>
        <v>#DIV/0!</v>
      </c>
      <c r="S30" s="35"/>
      <c r="T30" s="40">
        <f t="shared" si="1"/>
        <v>0</v>
      </c>
    </row>
    <row r="31" spans="1:20" s="3" customFormat="1" ht="25.4" hidden="1" customHeight="1">
      <c r="A31" s="3" t="s">
        <v>749</v>
      </c>
      <c r="B31" s="3" t="s">
        <v>684</v>
      </c>
      <c r="C31" s="49">
        <v>2699</v>
      </c>
      <c r="D31" s="26" t="s">
        <v>732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6">
        <f t="shared" si="5"/>
        <v>0</v>
      </c>
      <c r="R31" s="114" t="e">
        <f t="shared" si="4"/>
        <v>#DIV/0!</v>
      </c>
      <c r="S31" s="35"/>
      <c r="T31" s="40">
        <f t="shared" si="1"/>
        <v>0</v>
      </c>
    </row>
    <row r="32" spans="1:20" s="3" customFormat="1" ht="25.4" hidden="1" customHeight="1">
      <c r="A32" s="3" t="s">
        <v>749</v>
      </c>
      <c r="B32" s="3" t="s">
        <v>684</v>
      </c>
      <c r="C32" s="49">
        <v>2602</v>
      </c>
      <c r="D32" s="26" t="s">
        <v>734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6">
        <f t="shared" si="5"/>
        <v>0</v>
      </c>
      <c r="R32" s="114" t="e">
        <f t="shared" si="4"/>
        <v>#DIV/0!</v>
      </c>
      <c r="S32" s="35"/>
      <c r="T32" s="40">
        <f t="shared" si="1"/>
        <v>0</v>
      </c>
    </row>
    <row r="33" spans="1:20" s="3" customFormat="1" ht="25.4" hidden="1" customHeight="1">
      <c r="A33" s="3" t="s">
        <v>749</v>
      </c>
      <c r="B33" s="3" t="s">
        <v>684</v>
      </c>
      <c r="C33" s="49">
        <v>2605</v>
      </c>
      <c r="D33" s="26" t="s">
        <v>736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6">
        <f t="shared" si="5"/>
        <v>0</v>
      </c>
      <c r="R33" s="114" t="e">
        <f t="shared" si="4"/>
        <v>#DIV/0!</v>
      </c>
      <c r="S33" s="35"/>
      <c r="T33" s="40">
        <f t="shared" si="1"/>
        <v>0</v>
      </c>
    </row>
    <row r="34" spans="1:20" s="3" customFormat="1" ht="25.4" hidden="1" customHeight="1">
      <c r="A34" s="3" t="s">
        <v>749</v>
      </c>
      <c r="B34" s="3" t="s">
        <v>684</v>
      </c>
      <c r="C34" s="49">
        <v>2699</v>
      </c>
      <c r="D34" s="26" t="s">
        <v>753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6">
        <f t="shared" si="5"/>
        <v>0</v>
      </c>
      <c r="R34" s="114" t="e">
        <f t="shared" si="4"/>
        <v>#DIV/0!</v>
      </c>
      <c r="S34" s="35"/>
      <c r="T34" s="40">
        <f t="shared" si="1"/>
        <v>0</v>
      </c>
    </row>
    <row r="35" spans="1:20" s="3" customFormat="1" ht="25.4" hidden="1" customHeight="1">
      <c r="A35" s="3" t="s">
        <v>749</v>
      </c>
      <c r="B35" s="3" t="s">
        <v>684</v>
      </c>
      <c r="C35" s="49">
        <v>2607</v>
      </c>
      <c r="D35" s="26" t="s">
        <v>738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90">
        <v>0</v>
      </c>
      <c r="O35" s="90">
        <v>0</v>
      </c>
      <c r="P35" s="90">
        <v>0</v>
      </c>
      <c r="Q35" s="96">
        <f t="shared" si="5"/>
        <v>0</v>
      </c>
      <c r="R35" s="114" t="e">
        <f t="shared" si="4"/>
        <v>#DIV/0!</v>
      </c>
      <c r="S35" s="35"/>
      <c r="T35" s="40">
        <f t="shared" si="1"/>
        <v>0</v>
      </c>
    </row>
    <row r="36" spans="1:20" s="3" customFormat="1" ht="25.4" hidden="1" customHeight="1">
      <c r="A36" s="3" t="s">
        <v>749</v>
      </c>
      <c r="B36" s="3" t="s">
        <v>684</v>
      </c>
      <c r="C36" s="49">
        <v>2607</v>
      </c>
      <c r="D36" s="26" t="s">
        <v>740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6">
        <f t="shared" si="5"/>
        <v>0</v>
      </c>
      <c r="R36" s="114" t="e">
        <f t="shared" si="4"/>
        <v>#DIV/0!</v>
      </c>
      <c r="S36" s="35"/>
      <c r="T36" s="40">
        <f t="shared" si="1"/>
        <v>0</v>
      </c>
    </row>
    <row r="37" spans="1:20" s="3" customFormat="1" ht="25.4" hidden="1" customHeight="1">
      <c r="A37" s="3" t="s">
        <v>749</v>
      </c>
      <c r="B37" s="3" t="s">
        <v>684</v>
      </c>
      <c r="C37" s="49">
        <v>2607</v>
      </c>
      <c r="D37" s="26" t="s">
        <v>742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90">
        <v>0</v>
      </c>
      <c r="O37" s="90">
        <v>0</v>
      </c>
      <c r="P37" s="90">
        <v>0</v>
      </c>
      <c r="Q37" s="96">
        <f t="shared" si="5"/>
        <v>0</v>
      </c>
      <c r="R37" s="114" t="e">
        <f t="shared" si="4"/>
        <v>#DIV/0!</v>
      </c>
      <c r="S37" s="35"/>
      <c r="T37" s="40">
        <f t="shared" si="1"/>
        <v>0</v>
      </c>
    </row>
    <row r="38" spans="1:20" s="3" customFormat="1" ht="25.4" hidden="1" customHeight="1">
      <c r="A38" s="3" t="s">
        <v>749</v>
      </c>
      <c r="B38" s="3" t="s">
        <v>684</v>
      </c>
      <c r="C38" s="49">
        <v>2607</v>
      </c>
      <c r="D38" s="26" t="s">
        <v>744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6">
        <f t="shared" si="5"/>
        <v>0</v>
      </c>
      <c r="R38" s="114" t="e">
        <f t="shared" si="4"/>
        <v>#DIV/0!</v>
      </c>
      <c r="S38" s="35"/>
      <c r="T38" s="40">
        <f t="shared" si="1"/>
        <v>0</v>
      </c>
    </row>
    <row r="39" spans="1:20" s="3" customFormat="1" ht="25.4" customHeight="1">
      <c r="A39" s="3" t="s">
        <v>749</v>
      </c>
      <c r="B39" s="3" t="s">
        <v>684</v>
      </c>
      <c r="D39" s="26" t="s">
        <v>746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6">
        <f t="shared" si="5"/>
        <v>0</v>
      </c>
      <c r="R39" s="114" t="e">
        <f t="shared" si="4"/>
        <v>#DIV/0!</v>
      </c>
      <c r="S39" s="35"/>
      <c r="T39" s="40">
        <f>-IF(Q39-S39=0,0,(Q39-S39)/S39)</f>
        <v>0</v>
      </c>
    </row>
    <row r="40" spans="1:20" s="19" customFormat="1" ht="25.4" customHeight="1">
      <c r="A40" s="3" t="s">
        <v>754</v>
      </c>
      <c r="B40" s="3" t="s">
        <v>684</v>
      </c>
      <c r="C40" s="3"/>
      <c r="D40" s="21" t="s">
        <v>755</v>
      </c>
      <c r="E40" s="91">
        <f>SUM(E24:E39)</f>
        <v>0</v>
      </c>
      <c r="F40" s="91">
        <f t="shared" ref="F40:P40" si="6">SUM(F24:F39)</f>
        <v>0</v>
      </c>
      <c r="G40" s="91">
        <f t="shared" si="6"/>
        <v>0</v>
      </c>
      <c r="H40" s="91">
        <f t="shared" si="6"/>
        <v>0</v>
      </c>
      <c r="I40" s="91">
        <f t="shared" si="6"/>
        <v>0</v>
      </c>
      <c r="J40" s="91">
        <f t="shared" si="6"/>
        <v>0</v>
      </c>
      <c r="K40" s="91">
        <f t="shared" si="6"/>
        <v>0</v>
      </c>
      <c r="L40" s="91">
        <f t="shared" si="6"/>
        <v>0</v>
      </c>
      <c r="M40" s="91">
        <f t="shared" si="6"/>
        <v>0</v>
      </c>
      <c r="N40" s="91">
        <f t="shared" si="6"/>
        <v>0</v>
      </c>
      <c r="O40" s="91">
        <f t="shared" si="6"/>
        <v>0</v>
      </c>
      <c r="P40" s="91">
        <f t="shared" si="6"/>
        <v>0</v>
      </c>
      <c r="Q40" s="111">
        <f t="shared" si="5"/>
        <v>0</v>
      </c>
      <c r="R40" s="114" t="e">
        <f t="shared" si="4"/>
        <v>#DIV/0!</v>
      </c>
      <c r="S40" s="35"/>
      <c r="T40" s="40">
        <f>-IF(Q40-S40=0,0,(Q40-S40)/S40)</f>
        <v>0</v>
      </c>
    </row>
    <row r="41" spans="1:20" s="19" customFormat="1" ht="25.4" customHeight="1">
      <c r="A41" s="3"/>
      <c r="B41" s="3"/>
      <c r="C41" s="3"/>
      <c r="D41" s="2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6"/>
      <c r="S41" s="35"/>
      <c r="T41" s="40"/>
    </row>
    <row r="42" spans="1:20" s="19" customFormat="1" ht="25.4" customHeight="1">
      <c r="A42" s="19" t="s">
        <v>466</v>
      </c>
      <c r="B42" s="3" t="s">
        <v>684</v>
      </c>
      <c r="D42" s="19" t="s">
        <v>756</v>
      </c>
      <c r="E42" s="92">
        <f>E150</f>
        <v>0</v>
      </c>
      <c r="F42" s="92">
        <f t="shared" ref="F42:P42" si="7">F150</f>
        <v>0</v>
      </c>
      <c r="G42" s="92">
        <f t="shared" si="7"/>
        <v>0</v>
      </c>
      <c r="H42" s="92">
        <f t="shared" si="7"/>
        <v>0</v>
      </c>
      <c r="I42" s="92">
        <f t="shared" si="7"/>
        <v>0</v>
      </c>
      <c r="J42" s="92">
        <f t="shared" si="7"/>
        <v>0</v>
      </c>
      <c r="K42" s="92">
        <f t="shared" si="7"/>
        <v>0</v>
      </c>
      <c r="L42" s="92">
        <f t="shared" si="7"/>
        <v>0</v>
      </c>
      <c r="M42" s="92">
        <f t="shared" si="7"/>
        <v>0</v>
      </c>
      <c r="N42" s="92">
        <f t="shared" si="7"/>
        <v>0</v>
      </c>
      <c r="O42" s="92">
        <f t="shared" si="7"/>
        <v>0</v>
      </c>
      <c r="P42" s="92">
        <f t="shared" si="7"/>
        <v>0</v>
      </c>
      <c r="Q42" s="97">
        <f>SUM(E42:P42)</f>
        <v>0</v>
      </c>
      <c r="R42" s="114" t="e">
        <f>Q42/$Q$21</f>
        <v>#DIV/0!</v>
      </c>
      <c r="S42" s="35"/>
      <c r="T42" s="40">
        <f>-IF(Q42-S42=0,0,(Q42-S42)/S42)</f>
        <v>0</v>
      </c>
    </row>
    <row r="43" spans="1:20" s="19" customFormat="1" ht="25.4" customHeight="1">
      <c r="D43" s="26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6"/>
      <c r="S43" s="35"/>
      <c r="T43" s="40"/>
    </row>
    <row r="44" spans="1:20" s="19" customFormat="1" ht="25.4" customHeight="1">
      <c r="D44" s="21" t="s">
        <v>757</v>
      </c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6"/>
      <c r="S44" s="35"/>
      <c r="T44" s="40"/>
    </row>
    <row r="45" spans="1:20" s="19" customFormat="1" ht="25.4" hidden="1" customHeight="1">
      <c r="A45" s="19" t="s">
        <v>468</v>
      </c>
      <c r="B45" s="3" t="s">
        <v>684</v>
      </c>
      <c r="D45" s="26" t="s">
        <v>143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6">
        <f>SUM(E45:P45)</f>
        <v>0</v>
      </c>
      <c r="S45" s="35"/>
      <c r="T45" s="40">
        <f t="shared" si="1"/>
        <v>0</v>
      </c>
    </row>
    <row r="46" spans="1:20" s="19" customFormat="1" ht="25.4" hidden="1" customHeight="1">
      <c r="A46" s="19" t="s">
        <v>470</v>
      </c>
      <c r="B46" s="3" t="s">
        <v>684</v>
      </c>
      <c r="D46" s="26" t="s">
        <v>145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90">
        <v>0</v>
      </c>
      <c r="O46" s="90">
        <v>0</v>
      </c>
      <c r="P46" s="90">
        <v>0</v>
      </c>
      <c r="Q46" s="96">
        <f t="shared" ref="Q46:Q109" si="8">SUM(E46:P46)</f>
        <v>0</v>
      </c>
      <c r="S46" s="35"/>
      <c r="T46" s="40">
        <f t="shared" si="1"/>
        <v>0</v>
      </c>
    </row>
    <row r="47" spans="1:20" s="19" customFormat="1" ht="25.4" hidden="1" customHeight="1">
      <c r="A47" s="19" t="s">
        <v>472</v>
      </c>
      <c r="B47" s="3" t="s">
        <v>684</v>
      </c>
      <c r="D47" s="26" t="s">
        <v>147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96">
        <f t="shared" si="8"/>
        <v>0</v>
      </c>
      <c r="S47" s="35"/>
      <c r="T47" s="40">
        <f t="shared" si="1"/>
        <v>0</v>
      </c>
    </row>
    <row r="48" spans="1:20" s="19" customFormat="1" ht="25.4" hidden="1" customHeight="1">
      <c r="A48" s="19" t="s">
        <v>474</v>
      </c>
      <c r="B48" s="3" t="s">
        <v>684</v>
      </c>
      <c r="D48" s="26" t="s">
        <v>149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6">
        <f t="shared" si="8"/>
        <v>0</v>
      </c>
      <c r="S48" s="35"/>
      <c r="T48" s="40">
        <f t="shared" si="1"/>
        <v>0</v>
      </c>
    </row>
    <row r="49" spans="1:20" s="19" customFormat="1" ht="25.4" hidden="1" customHeight="1">
      <c r="A49" s="19" t="s">
        <v>476</v>
      </c>
      <c r="B49" s="3" t="s">
        <v>684</v>
      </c>
      <c r="D49" s="26" t="s">
        <v>151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6">
        <f t="shared" si="8"/>
        <v>0</v>
      </c>
      <c r="S49" s="35"/>
      <c r="T49" s="40">
        <f t="shared" si="1"/>
        <v>0</v>
      </c>
    </row>
    <row r="50" spans="1:20" s="19" customFormat="1" ht="25.4" hidden="1" customHeight="1">
      <c r="A50" s="19" t="s">
        <v>478</v>
      </c>
      <c r="B50" s="3" t="s">
        <v>684</v>
      </c>
      <c r="D50" s="26" t="s">
        <v>153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6">
        <f t="shared" si="8"/>
        <v>0</v>
      </c>
      <c r="S50" s="35"/>
      <c r="T50" s="40">
        <f t="shared" si="1"/>
        <v>0</v>
      </c>
    </row>
    <row r="51" spans="1:20" s="19" customFormat="1" ht="25.4" hidden="1" customHeight="1">
      <c r="A51" s="19" t="s">
        <v>480</v>
      </c>
      <c r="B51" s="3" t="s">
        <v>684</v>
      </c>
      <c r="D51" s="26" t="s">
        <v>155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6">
        <f t="shared" si="8"/>
        <v>0</v>
      </c>
      <c r="S51" s="35"/>
      <c r="T51" s="40">
        <f t="shared" si="1"/>
        <v>0</v>
      </c>
    </row>
    <row r="52" spans="1:20" s="19" customFormat="1" ht="25.4" hidden="1" customHeight="1">
      <c r="A52" s="19" t="s">
        <v>482</v>
      </c>
      <c r="B52" s="3" t="s">
        <v>684</v>
      </c>
      <c r="D52" s="26" t="s">
        <v>157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6">
        <f t="shared" si="8"/>
        <v>0</v>
      </c>
      <c r="S52" s="35"/>
      <c r="T52" s="40">
        <f t="shared" si="1"/>
        <v>0</v>
      </c>
    </row>
    <row r="53" spans="1:20" s="19" customFormat="1" ht="25.4" hidden="1" customHeight="1">
      <c r="A53" s="19" t="s">
        <v>484</v>
      </c>
      <c r="B53" s="3" t="s">
        <v>684</v>
      </c>
      <c r="D53" s="26" t="s">
        <v>159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  <c r="N53" s="90">
        <v>0</v>
      </c>
      <c r="O53" s="90">
        <v>0</v>
      </c>
      <c r="P53" s="90">
        <v>0</v>
      </c>
      <c r="Q53" s="96">
        <f t="shared" si="8"/>
        <v>0</v>
      </c>
      <c r="S53" s="35"/>
      <c r="T53" s="40">
        <f t="shared" si="1"/>
        <v>0</v>
      </c>
    </row>
    <row r="54" spans="1:20" s="19" customFormat="1" ht="25.4" hidden="1" customHeight="1">
      <c r="A54" s="19" t="s">
        <v>486</v>
      </c>
      <c r="B54" s="3" t="s">
        <v>684</v>
      </c>
      <c r="D54" s="26" t="s">
        <v>161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90">
        <v>0</v>
      </c>
      <c r="P54" s="90">
        <v>0</v>
      </c>
      <c r="Q54" s="96">
        <f t="shared" si="8"/>
        <v>0</v>
      </c>
      <c r="S54" s="35"/>
      <c r="T54" s="40">
        <f t="shared" si="1"/>
        <v>0</v>
      </c>
    </row>
    <row r="55" spans="1:20" s="19" customFormat="1" ht="25.4" hidden="1" customHeight="1">
      <c r="A55" s="19" t="s">
        <v>488</v>
      </c>
      <c r="B55" s="3" t="s">
        <v>684</v>
      </c>
      <c r="D55" s="26" t="s">
        <v>163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6">
        <f t="shared" si="8"/>
        <v>0</v>
      </c>
      <c r="S55" s="35"/>
      <c r="T55" s="40">
        <f t="shared" si="1"/>
        <v>0</v>
      </c>
    </row>
    <row r="56" spans="1:20" s="19" customFormat="1" ht="25.4" hidden="1" customHeight="1">
      <c r="A56" s="19" t="s">
        <v>490</v>
      </c>
      <c r="B56" s="3" t="s">
        <v>684</v>
      </c>
      <c r="D56" s="26" t="s">
        <v>165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90">
        <v>0</v>
      </c>
      <c r="O56" s="90">
        <v>0</v>
      </c>
      <c r="P56" s="90">
        <v>0</v>
      </c>
      <c r="Q56" s="96">
        <f t="shared" si="8"/>
        <v>0</v>
      </c>
      <c r="S56" s="35"/>
      <c r="T56" s="40">
        <f t="shared" si="1"/>
        <v>0</v>
      </c>
    </row>
    <row r="57" spans="1:20" s="19" customFormat="1" ht="25.4" hidden="1" customHeight="1">
      <c r="A57" s="19" t="s">
        <v>492</v>
      </c>
      <c r="B57" s="3" t="s">
        <v>684</v>
      </c>
      <c r="D57" s="26" t="s">
        <v>167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6">
        <f t="shared" si="8"/>
        <v>0</v>
      </c>
      <c r="S57" s="35"/>
      <c r="T57" s="40">
        <f t="shared" si="1"/>
        <v>0</v>
      </c>
    </row>
    <row r="58" spans="1:20" s="19" customFormat="1" ht="25.4" hidden="1" customHeight="1">
      <c r="A58" s="19" t="s">
        <v>494</v>
      </c>
      <c r="B58" s="3" t="s">
        <v>684</v>
      </c>
      <c r="D58" s="26" t="s">
        <v>169</v>
      </c>
      <c r="E58" s="90">
        <v>0</v>
      </c>
      <c r="F58" s="90">
        <v>0</v>
      </c>
      <c r="G58" s="90">
        <v>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90">
        <v>0</v>
      </c>
      <c r="P58" s="90">
        <v>0</v>
      </c>
      <c r="Q58" s="96">
        <f t="shared" si="8"/>
        <v>0</v>
      </c>
      <c r="S58" s="35"/>
      <c r="T58" s="40">
        <f t="shared" si="1"/>
        <v>0</v>
      </c>
    </row>
    <row r="59" spans="1:20" s="3" customFormat="1" ht="25.4" hidden="1" customHeight="1">
      <c r="A59" s="3" t="s">
        <v>496</v>
      </c>
      <c r="B59" s="3" t="s">
        <v>684</v>
      </c>
      <c r="D59" s="26" t="s">
        <v>171</v>
      </c>
      <c r="E59" s="90">
        <v>0</v>
      </c>
      <c r="F59" s="90">
        <v>0</v>
      </c>
      <c r="G59" s="90">
        <v>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90">
        <v>0</v>
      </c>
      <c r="P59" s="90">
        <v>0</v>
      </c>
      <c r="Q59" s="96">
        <f t="shared" si="8"/>
        <v>0</v>
      </c>
      <c r="S59" s="35"/>
      <c r="T59" s="40">
        <f t="shared" si="1"/>
        <v>0</v>
      </c>
    </row>
    <row r="60" spans="1:20" s="3" customFormat="1" ht="25.4" hidden="1" customHeight="1">
      <c r="A60" s="3" t="s">
        <v>497</v>
      </c>
      <c r="B60" s="3" t="s">
        <v>684</v>
      </c>
      <c r="D60" s="26" t="s">
        <v>173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90">
        <v>0</v>
      </c>
      <c r="P60" s="90">
        <v>0</v>
      </c>
      <c r="Q60" s="96">
        <f t="shared" si="8"/>
        <v>0</v>
      </c>
      <c r="S60" s="35"/>
      <c r="T60" s="40">
        <f t="shared" si="1"/>
        <v>0</v>
      </c>
    </row>
    <row r="61" spans="1:20" s="3" customFormat="1" ht="25.4" hidden="1" customHeight="1">
      <c r="A61" s="254" t="s">
        <v>498</v>
      </c>
      <c r="B61" s="3" t="s">
        <v>684</v>
      </c>
      <c r="D61" s="26" t="s">
        <v>175</v>
      </c>
      <c r="E61" s="90">
        <v>0</v>
      </c>
      <c r="F61" s="90">
        <v>0</v>
      </c>
      <c r="G61" s="90">
        <v>0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90">
        <v>0</v>
      </c>
      <c r="O61" s="90">
        <v>0</v>
      </c>
      <c r="P61" s="90">
        <v>0</v>
      </c>
      <c r="Q61" s="96">
        <f t="shared" si="8"/>
        <v>0</v>
      </c>
      <c r="S61" s="35"/>
      <c r="T61" s="40">
        <f t="shared" si="1"/>
        <v>0</v>
      </c>
    </row>
    <row r="62" spans="1:20" s="3" customFormat="1" ht="25.4" hidden="1" customHeight="1">
      <c r="A62" s="254" t="s">
        <v>500</v>
      </c>
      <c r="B62" s="3" t="s">
        <v>684</v>
      </c>
      <c r="D62" s="26" t="s">
        <v>177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6">
        <f t="shared" si="8"/>
        <v>0</v>
      </c>
      <c r="S62" s="35"/>
      <c r="T62" s="40">
        <f t="shared" si="1"/>
        <v>0</v>
      </c>
    </row>
    <row r="63" spans="1:20" s="3" customFormat="1" ht="25.4" hidden="1" customHeight="1">
      <c r="A63" s="3" t="s">
        <v>502</v>
      </c>
      <c r="B63" s="3" t="s">
        <v>684</v>
      </c>
      <c r="D63" s="26" t="s">
        <v>179</v>
      </c>
      <c r="E63" s="90">
        <v>0</v>
      </c>
      <c r="F63" s="90">
        <v>0</v>
      </c>
      <c r="G63" s="90">
        <v>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90">
        <v>0</v>
      </c>
      <c r="P63" s="90">
        <v>0</v>
      </c>
      <c r="Q63" s="96">
        <f t="shared" si="8"/>
        <v>0</v>
      </c>
      <c r="S63" s="35"/>
      <c r="T63" s="40">
        <f t="shared" si="1"/>
        <v>0</v>
      </c>
    </row>
    <row r="64" spans="1:20" s="3" customFormat="1" ht="25.4" hidden="1" customHeight="1">
      <c r="A64" s="3" t="s">
        <v>504</v>
      </c>
      <c r="B64" s="3" t="s">
        <v>684</v>
      </c>
      <c r="D64" s="26" t="s">
        <v>181</v>
      </c>
      <c r="E64" s="90">
        <v>0</v>
      </c>
      <c r="F64" s="90">
        <v>0</v>
      </c>
      <c r="G64" s="90">
        <v>0</v>
      </c>
      <c r="H64" s="90">
        <v>0</v>
      </c>
      <c r="I64" s="90">
        <v>0</v>
      </c>
      <c r="J64" s="90">
        <v>0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0</v>
      </c>
      <c r="Q64" s="96">
        <f t="shared" si="8"/>
        <v>0</v>
      </c>
      <c r="S64" s="35"/>
      <c r="T64" s="40">
        <f t="shared" si="1"/>
        <v>0</v>
      </c>
    </row>
    <row r="65" spans="1:20" s="3" customFormat="1" ht="25.4" hidden="1" customHeight="1">
      <c r="A65" s="254" t="s">
        <v>506</v>
      </c>
      <c r="B65" s="3" t="s">
        <v>684</v>
      </c>
      <c r="D65" s="26" t="s">
        <v>183</v>
      </c>
      <c r="E65" s="90">
        <v>0</v>
      </c>
      <c r="F65" s="90">
        <v>0</v>
      </c>
      <c r="G65" s="90">
        <v>0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90">
        <v>0</v>
      </c>
      <c r="O65" s="90">
        <v>0</v>
      </c>
      <c r="P65" s="90">
        <v>0</v>
      </c>
      <c r="Q65" s="96">
        <f t="shared" si="8"/>
        <v>0</v>
      </c>
      <c r="S65" s="35"/>
      <c r="T65" s="40">
        <f t="shared" si="1"/>
        <v>0</v>
      </c>
    </row>
    <row r="66" spans="1:20" s="3" customFormat="1" ht="25.4" hidden="1" customHeight="1">
      <c r="A66" s="54" t="s">
        <v>508</v>
      </c>
      <c r="B66" s="3" t="s">
        <v>684</v>
      </c>
      <c r="D66" s="26" t="s">
        <v>185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  <c r="Q66" s="96">
        <f t="shared" si="8"/>
        <v>0</v>
      </c>
      <c r="S66" s="35"/>
      <c r="T66" s="40">
        <f t="shared" si="1"/>
        <v>0</v>
      </c>
    </row>
    <row r="67" spans="1:20" s="3" customFormat="1" ht="25.4" hidden="1" customHeight="1">
      <c r="A67" s="254" t="s">
        <v>510</v>
      </c>
      <c r="B67" s="3" t="s">
        <v>684</v>
      </c>
      <c r="D67" s="26" t="s">
        <v>187</v>
      </c>
      <c r="E67" s="90">
        <v>0</v>
      </c>
      <c r="F67" s="90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6">
        <f t="shared" si="8"/>
        <v>0</v>
      </c>
      <c r="S67" s="35"/>
      <c r="T67" s="40">
        <f t="shared" si="1"/>
        <v>0</v>
      </c>
    </row>
    <row r="68" spans="1:20" s="3" customFormat="1" ht="25.4" hidden="1" customHeight="1">
      <c r="A68" s="254" t="s">
        <v>512</v>
      </c>
      <c r="B68" s="3" t="s">
        <v>684</v>
      </c>
      <c r="D68" s="26" t="s">
        <v>189</v>
      </c>
      <c r="E68" s="90">
        <v>0</v>
      </c>
      <c r="F68" s="90">
        <v>0</v>
      </c>
      <c r="G68" s="90">
        <v>0</v>
      </c>
      <c r="H68" s="90">
        <v>0</v>
      </c>
      <c r="I68" s="90">
        <v>0</v>
      </c>
      <c r="J68" s="90">
        <v>0</v>
      </c>
      <c r="K68" s="90">
        <v>0</v>
      </c>
      <c r="L68" s="90">
        <v>0</v>
      </c>
      <c r="M68" s="90">
        <v>0</v>
      </c>
      <c r="N68" s="90">
        <v>0</v>
      </c>
      <c r="O68" s="90">
        <v>0</v>
      </c>
      <c r="P68" s="90">
        <v>0</v>
      </c>
      <c r="Q68" s="96">
        <f t="shared" si="8"/>
        <v>0</v>
      </c>
      <c r="S68" s="35"/>
      <c r="T68" s="40">
        <f t="shared" si="1"/>
        <v>0</v>
      </c>
    </row>
    <row r="69" spans="1:20" s="3" customFormat="1" ht="25.4" hidden="1" customHeight="1">
      <c r="A69" s="254" t="s">
        <v>514</v>
      </c>
      <c r="B69" s="3" t="s">
        <v>684</v>
      </c>
      <c r="D69" s="26" t="s">
        <v>191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0</v>
      </c>
      <c r="P69" s="90">
        <v>0</v>
      </c>
      <c r="Q69" s="96">
        <f t="shared" si="8"/>
        <v>0</v>
      </c>
      <c r="S69" s="35"/>
      <c r="T69" s="40">
        <f t="shared" si="1"/>
        <v>0</v>
      </c>
    </row>
    <row r="70" spans="1:20" s="19" customFormat="1" ht="25.4" hidden="1" customHeight="1">
      <c r="A70" s="254" t="s">
        <v>516</v>
      </c>
      <c r="B70" s="3" t="s">
        <v>684</v>
      </c>
      <c r="D70" s="26" t="s">
        <v>193</v>
      </c>
      <c r="E70" s="90">
        <v>0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6">
        <f t="shared" si="8"/>
        <v>0</v>
      </c>
      <c r="S70" s="35"/>
      <c r="T70" s="40">
        <f t="shared" si="1"/>
        <v>0</v>
      </c>
    </row>
    <row r="71" spans="1:20" s="3" customFormat="1" ht="25.4" hidden="1" customHeight="1">
      <c r="A71" s="50" t="s">
        <v>518</v>
      </c>
      <c r="B71" s="3" t="s">
        <v>684</v>
      </c>
      <c r="D71" s="26" t="s">
        <v>195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90">
        <v>0</v>
      </c>
      <c r="O71" s="90">
        <v>0</v>
      </c>
      <c r="P71" s="90">
        <v>0</v>
      </c>
      <c r="Q71" s="96">
        <f t="shared" si="8"/>
        <v>0</v>
      </c>
      <c r="S71" s="35"/>
      <c r="T71" s="40">
        <f t="shared" si="1"/>
        <v>0</v>
      </c>
    </row>
    <row r="72" spans="1:20" s="3" customFormat="1" ht="25.4" hidden="1" customHeight="1">
      <c r="A72" s="254" t="s">
        <v>520</v>
      </c>
      <c r="B72" s="3" t="s">
        <v>684</v>
      </c>
      <c r="D72" s="26" t="s">
        <v>197</v>
      </c>
      <c r="E72" s="90">
        <v>0</v>
      </c>
      <c r="F72" s="90">
        <v>0</v>
      </c>
      <c r="G72" s="90">
        <v>0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90">
        <v>0</v>
      </c>
      <c r="O72" s="90">
        <v>0</v>
      </c>
      <c r="P72" s="90">
        <v>0</v>
      </c>
      <c r="Q72" s="96">
        <f t="shared" si="8"/>
        <v>0</v>
      </c>
      <c r="S72" s="35"/>
      <c r="T72" s="40">
        <f t="shared" si="1"/>
        <v>0</v>
      </c>
    </row>
    <row r="73" spans="1:20" s="3" customFormat="1" ht="25.4" hidden="1" customHeight="1">
      <c r="A73" s="254" t="s">
        <v>522</v>
      </c>
      <c r="B73" s="3" t="s">
        <v>684</v>
      </c>
      <c r="D73" s="26" t="s">
        <v>199</v>
      </c>
      <c r="E73" s="90">
        <v>0</v>
      </c>
      <c r="F73" s="90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6">
        <f t="shared" si="8"/>
        <v>0</v>
      </c>
      <c r="S73" s="35"/>
      <c r="T73" s="40">
        <f t="shared" si="1"/>
        <v>0</v>
      </c>
    </row>
    <row r="74" spans="1:20" s="3" customFormat="1" ht="25.4" hidden="1" customHeight="1">
      <c r="A74" s="254" t="s">
        <v>524</v>
      </c>
      <c r="B74" s="3" t="s">
        <v>684</v>
      </c>
      <c r="D74" s="26" t="s">
        <v>201</v>
      </c>
      <c r="E74" s="90">
        <v>0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  <c r="Q74" s="96">
        <f t="shared" si="8"/>
        <v>0</v>
      </c>
      <c r="S74" s="35"/>
      <c r="T74" s="40">
        <f t="shared" si="1"/>
        <v>0</v>
      </c>
    </row>
    <row r="75" spans="1:20" s="3" customFormat="1" ht="25.4" hidden="1" customHeight="1">
      <c r="A75" s="254" t="s">
        <v>526</v>
      </c>
      <c r="B75" s="3" t="s">
        <v>684</v>
      </c>
      <c r="D75" s="26" t="s">
        <v>203</v>
      </c>
      <c r="E75" s="90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6">
        <f t="shared" si="8"/>
        <v>0</v>
      </c>
      <c r="S75" s="35"/>
      <c r="T75" s="40">
        <f t="shared" si="1"/>
        <v>0</v>
      </c>
    </row>
    <row r="76" spans="1:20" s="3" customFormat="1" ht="25.4" hidden="1" customHeight="1">
      <c r="A76" s="254" t="s">
        <v>528</v>
      </c>
      <c r="B76" s="3" t="s">
        <v>684</v>
      </c>
      <c r="D76" s="26" t="s">
        <v>205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6">
        <f t="shared" si="8"/>
        <v>0</v>
      </c>
      <c r="S76" s="35"/>
      <c r="T76" s="40">
        <f t="shared" si="1"/>
        <v>0</v>
      </c>
    </row>
    <row r="77" spans="1:20" s="3" customFormat="1" ht="25.4" hidden="1" customHeight="1">
      <c r="A77" s="254" t="s">
        <v>530</v>
      </c>
      <c r="B77" s="3" t="s">
        <v>684</v>
      </c>
      <c r="D77" s="26" t="s">
        <v>207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6">
        <f t="shared" si="8"/>
        <v>0</v>
      </c>
      <c r="S77" s="35"/>
      <c r="T77" s="40">
        <f t="shared" ref="T77:T114" si="9">IF(Q77-S77=0,0,(Q77-S77)/S77)</f>
        <v>0</v>
      </c>
    </row>
    <row r="78" spans="1:20" s="3" customFormat="1" ht="25.4" hidden="1" customHeight="1">
      <c r="A78" s="254" t="s">
        <v>532</v>
      </c>
      <c r="B78" s="3" t="s">
        <v>684</v>
      </c>
      <c r="D78" s="26" t="s">
        <v>209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90">
        <v>0</v>
      </c>
      <c r="O78" s="90">
        <v>0</v>
      </c>
      <c r="P78" s="90">
        <v>0</v>
      </c>
      <c r="Q78" s="96">
        <f t="shared" si="8"/>
        <v>0</v>
      </c>
      <c r="S78" s="35"/>
      <c r="T78" s="40">
        <f t="shared" si="9"/>
        <v>0</v>
      </c>
    </row>
    <row r="79" spans="1:20" s="3" customFormat="1" ht="25.4" hidden="1" customHeight="1">
      <c r="A79" s="254" t="s">
        <v>534</v>
      </c>
      <c r="B79" s="3" t="s">
        <v>684</v>
      </c>
      <c r="D79" s="26" t="s">
        <v>211</v>
      </c>
      <c r="E79" s="90">
        <v>0</v>
      </c>
      <c r="F79" s="90">
        <v>0</v>
      </c>
      <c r="G79" s="90">
        <v>0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  <c r="Q79" s="96">
        <f t="shared" si="8"/>
        <v>0</v>
      </c>
      <c r="S79" s="35"/>
      <c r="T79" s="40">
        <f t="shared" si="9"/>
        <v>0</v>
      </c>
    </row>
    <row r="80" spans="1:20" s="19" customFormat="1" ht="25.4" hidden="1" customHeight="1">
      <c r="A80" s="254" t="s">
        <v>536</v>
      </c>
      <c r="B80" s="3" t="s">
        <v>684</v>
      </c>
      <c r="D80" s="26" t="s">
        <v>213</v>
      </c>
      <c r="E80" s="90">
        <v>0</v>
      </c>
      <c r="F80" s="90">
        <v>0</v>
      </c>
      <c r="G80" s="90">
        <v>0</v>
      </c>
      <c r="H80" s="90">
        <v>0</v>
      </c>
      <c r="I80" s="90">
        <v>0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  <c r="Q80" s="96">
        <f t="shared" si="8"/>
        <v>0</v>
      </c>
      <c r="S80" s="35"/>
      <c r="T80" s="40">
        <f t="shared" si="9"/>
        <v>0</v>
      </c>
    </row>
    <row r="81" spans="1:20" s="19" customFormat="1" ht="25.4" hidden="1" customHeight="1">
      <c r="A81" s="254" t="s">
        <v>538</v>
      </c>
      <c r="B81" s="3" t="s">
        <v>684</v>
      </c>
      <c r="D81" s="26" t="s">
        <v>215</v>
      </c>
      <c r="E81" s="90">
        <v>0</v>
      </c>
      <c r="F81" s="90">
        <v>0</v>
      </c>
      <c r="G81" s="90">
        <v>0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O81" s="90">
        <v>0</v>
      </c>
      <c r="P81" s="90">
        <v>0</v>
      </c>
      <c r="Q81" s="96">
        <f t="shared" si="8"/>
        <v>0</v>
      </c>
      <c r="S81" s="35"/>
      <c r="T81" s="40">
        <f t="shared" si="9"/>
        <v>0</v>
      </c>
    </row>
    <row r="82" spans="1:20" s="3" customFormat="1" ht="25.4" hidden="1" customHeight="1">
      <c r="A82" s="3" t="s">
        <v>540</v>
      </c>
      <c r="B82" s="3" t="s">
        <v>684</v>
      </c>
      <c r="D82" s="26" t="s">
        <v>217</v>
      </c>
      <c r="E82" s="90">
        <v>0</v>
      </c>
      <c r="F82" s="90">
        <v>0</v>
      </c>
      <c r="G82" s="90">
        <v>0</v>
      </c>
      <c r="H82" s="90">
        <v>0</v>
      </c>
      <c r="I82" s="90">
        <v>0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  <c r="Q82" s="96">
        <f t="shared" si="8"/>
        <v>0</v>
      </c>
      <c r="S82" s="35"/>
      <c r="T82" s="40">
        <f t="shared" si="9"/>
        <v>0</v>
      </c>
    </row>
    <row r="83" spans="1:20" s="3" customFormat="1" ht="25.4" hidden="1" customHeight="1">
      <c r="A83" s="3" t="s">
        <v>542</v>
      </c>
      <c r="B83" s="3" t="s">
        <v>684</v>
      </c>
      <c r="D83" s="26" t="s">
        <v>219</v>
      </c>
      <c r="E83" s="90">
        <v>0</v>
      </c>
      <c r="F83" s="90">
        <v>0</v>
      </c>
      <c r="G83" s="90">
        <v>0</v>
      </c>
      <c r="H83" s="90">
        <v>0</v>
      </c>
      <c r="I83" s="90">
        <v>0</v>
      </c>
      <c r="J83" s="90">
        <v>0</v>
      </c>
      <c r="K83" s="90">
        <v>0</v>
      </c>
      <c r="L83" s="90">
        <v>0</v>
      </c>
      <c r="M83" s="90">
        <v>0</v>
      </c>
      <c r="N83" s="90">
        <v>0</v>
      </c>
      <c r="O83" s="90">
        <v>0</v>
      </c>
      <c r="P83" s="90">
        <v>0</v>
      </c>
      <c r="Q83" s="96">
        <f t="shared" si="8"/>
        <v>0</v>
      </c>
      <c r="S83" s="35"/>
      <c r="T83" s="40">
        <f t="shared" si="9"/>
        <v>0</v>
      </c>
    </row>
    <row r="84" spans="1:20" s="3" customFormat="1" ht="25.4" hidden="1" customHeight="1">
      <c r="A84" s="3" t="s">
        <v>544</v>
      </c>
      <c r="B84" s="3" t="s">
        <v>684</v>
      </c>
      <c r="D84" s="26" t="s">
        <v>221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0">
        <v>0</v>
      </c>
      <c r="O84" s="90">
        <v>0</v>
      </c>
      <c r="P84" s="90">
        <v>0</v>
      </c>
      <c r="Q84" s="96">
        <f t="shared" si="8"/>
        <v>0</v>
      </c>
      <c r="S84" s="35"/>
      <c r="T84" s="40">
        <f t="shared" si="9"/>
        <v>0</v>
      </c>
    </row>
    <row r="85" spans="1:20" s="3" customFormat="1" ht="25.4" hidden="1" customHeight="1">
      <c r="A85" s="3" t="s">
        <v>546</v>
      </c>
      <c r="B85" s="3" t="s">
        <v>684</v>
      </c>
      <c r="D85" s="26" t="s">
        <v>223</v>
      </c>
      <c r="E85" s="90">
        <v>0</v>
      </c>
      <c r="F85" s="90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6">
        <f t="shared" si="8"/>
        <v>0</v>
      </c>
      <c r="S85" s="35"/>
      <c r="T85" s="40">
        <f t="shared" si="9"/>
        <v>0</v>
      </c>
    </row>
    <row r="86" spans="1:20" s="3" customFormat="1" ht="25.4" hidden="1" customHeight="1">
      <c r="A86" s="3" t="s">
        <v>548</v>
      </c>
      <c r="B86" s="3" t="s">
        <v>684</v>
      </c>
      <c r="D86" s="26" t="s">
        <v>225</v>
      </c>
      <c r="E86" s="90">
        <v>0</v>
      </c>
      <c r="F86" s="90">
        <v>0</v>
      </c>
      <c r="G86" s="90">
        <v>0</v>
      </c>
      <c r="H86" s="90">
        <v>0</v>
      </c>
      <c r="I86" s="90">
        <v>0</v>
      </c>
      <c r="J86" s="90">
        <v>0</v>
      </c>
      <c r="K86" s="90">
        <v>0</v>
      </c>
      <c r="L86" s="90">
        <v>0</v>
      </c>
      <c r="M86" s="90">
        <v>0</v>
      </c>
      <c r="N86" s="90">
        <v>0</v>
      </c>
      <c r="O86" s="90">
        <v>0</v>
      </c>
      <c r="P86" s="90">
        <v>0</v>
      </c>
      <c r="Q86" s="96">
        <f t="shared" si="8"/>
        <v>0</v>
      </c>
      <c r="S86" s="35"/>
      <c r="T86" s="40">
        <f t="shared" si="9"/>
        <v>0</v>
      </c>
    </row>
    <row r="87" spans="1:20" s="3" customFormat="1" ht="25.4" hidden="1" customHeight="1">
      <c r="A87" s="3" t="s">
        <v>550</v>
      </c>
      <c r="B87" s="3" t="s">
        <v>684</v>
      </c>
      <c r="D87" s="26" t="s">
        <v>227</v>
      </c>
      <c r="E87" s="90">
        <v>0</v>
      </c>
      <c r="F87" s="90">
        <v>0</v>
      </c>
      <c r="G87" s="90">
        <v>0</v>
      </c>
      <c r="H87" s="90">
        <v>0</v>
      </c>
      <c r="I87" s="90">
        <v>0</v>
      </c>
      <c r="J87" s="90">
        <v>0</v>
      </c>
      <c r="K87" s="90">
        <v>0</v>
      </c>
      <c r="L87" s="90">
        <v>0</v>
      </c>
      <c r="M87" s="90">
        <v>0</v>
      </c>
      <c r="N87" s="90">
        <v>0</v>
      </c>
      <c r="O87" s="90">
        <v>0</v>
      </c>
      <c r="P87" s="90">
        <v>0</v>
      </c>
      <c r="Q87" s="96">
        <f t="shared" si="8"/>
        <v>0</v>
      </c>
      <c r="S87" s="35"/>
      <c r="T87" s="40">
        <f t="shared" si="9"/>
        <v>0</v>
      </c>
    </row>
    <row r="88" spans="1:20" s="3" customFormat="1" ht="25.4" hidden="1" customHeight="1">
      <c r="A88" s="3" t="s">
        <v>552</v>
      </c>
      <c r="B88" s="3" t="s">
        <v>684</v>
      </c>
      <c r="D88" s="26" t="s">
        <v>229</v>
      </c>
      <c r="E88" s="90">
        <v>0</v>
      </c>
      <c r="F88" s="90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6">
        <f t="shared" si="8"/>
        <v>0</v>
      </c>
      <c r="S88" s="35"/>
      <c r="T88" s="40">
        <f t="shared" si="9"/>
        <v>0</v>
      </c>
    </row>
    <row r="89" spans="1:20" s="3" customFormat="1" ht="25.4" hidden="1" customHeight="1">
      <c r="A89" s="3" t="s">
        <v>554</v>
      </c>
      <c r="B89" s="3" t="s">
        <v>684</v>
      </c>
      <c r="D89" s="26" t="s">
        <v>231</v>
      </c>
      <c r="E89" s="90">
        <v>0</v>
      </c>
      <c r="F89" s="90">
        <v>0</v>
      </c>
      <c r="G89" s="90">
        <v>0</v>
      </c>
      <c r="H89" s="90">
        <v>0</v>
      </c>
      <c r="I89" s="90">
        <v>0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  <c r="Q89" s="96">
        <f t="shared" si="8"/>
        <v>0</v>
      </c>
      <c r="S89" s="35"/>
      <c r="T89" s="40">
        <f t="shared" si="9"/>
        <v>0</v>
      </c>
    </row>
    <row r="90" spans="1:20" s="3" customFormat="1" ht="25.4" hidden="1" customHeight="1">
      <c r="A90" s="254" t="s">
        <v>556</v>
      </c>
      <c r="B90" s="3" t="s">
        <v>684</v>
      </c>
      <c r="D90" s="26" t="s">
        <v>233</v>
      </c>
      <c r="E90" s="90">
        <v>0</v>
      </c>
      <c r="F90" s="90">
        <v>0</v>
      </c>
      <c r="G90" s="90">
        <v>0</v>
      </c>
      <c r="H90" s="90">
        <v>0</v>
      </c>
      <c r="I90" s="90">
        <v>0</v>
      </c>
      <c r="J90" s="90">
        <v>0</v>
      </c>
      <c r="K90" s="90">
        <v>0</v>
      </c>
      <c r="L90" s="90">
        <v>0</v>
      </c>
      <c r="M90" s="90">
        <v>0</v>
      </c>
      <c r="N90" s="90">
        <v>0</v>
      </c>
      <c r="O90" s="90">
        <v>0</v>
      </c>
      <c r="P90" s="90">
        <v>0</v>
      </c>
      <c r="Q90" s="96">
        <f t="shared" si="8"/>
        <v>0</v>
      </c>
      <c r="S90" s="35"/>
      <c r="T90" s="40">
        <f t="shared" si="9"/>
        <v>0</v>
      </c>
    </row>
    <row r="91" spans="1:20" s="3" customFormat="1" ht="25.4" hidden="1" customHeight="1">
      <c r="A91" s="254" t="s">
        <v>558</v>
      </c>
      <c r="B91" s="3" t="s">
        <v>684</v>
      </c>
      <c r="D91" s="26" t="s">
        <v>235</v>
      </c>
      <c r="E91" s="90">
        <v>0</v>
      </c>
      <c r="F91" s="90">
        <v>0</v>
      </c>
      <c r="G91" s="90">
        <v>0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6">
        <f t="shared" si="8"/>
        <v>0</v>
      </c>
      <c r="S91" s="35"/>
      <c r="T91" s="40">
        <f t="shared" si="9"/>
        <v>0</v>
      </c>
    </row>
    <row r="92" spans="1:20" s="3" customFormat="1" ht="25.4" hidden="1" customHeight="1">
      <c r="A92" s="254" t="s">
        <v>422</v>
      </c>
      <c r="B92" s="3" t="s">
        <v>684</v>
      </c>
      <c r="D92" s="26" t="s">
        <v>423</v>
      </c>
      <c r="E92" s="90">
        <v>0</v>
      </c>
      <c r="F92" s="90">
        <v>0</v>
      </c>
      <c r="G92" s="90">
        <v>0</v>
      </c>
      <c r="H92" s="90">
        <v>0</v>
      </c>
      <c r="I92" s="90">
        <v>0</v>
      </c>
      <c r="J92" s="90">
        <v>0</v>
      </c>
      <c r="K92" s="90">
        <v>0</v>
      </c>
      <c r="L92" s="90">
        <v>0</v>
      </c>
      <c r="M92" s="90">
        <v>0</v>
      </c>
      <c r="N92" s="90">
        <v>0</v>
      </c>
      <c r="O92" s="90">
        <v>0</v>
      </c>
      <c r="P92" s="90">
        <v>0</v>
      </c>
      <c r="Q92" s="96">
        <f t="shared" si="8"/>
        <v>0</v>
      </c>
      <c r="S92" s="35"/>
      <c r="T92" s="40">
        <f t="shared" si="9"/>
        <v>0</v>
      </c>
    </row>
    <row r="93" spans="1:20" ht="26.25" hidden="1" customHeight="1">
      <c r="A93" s="5" t="s">
        <v>560</v>
      </c>
      <c r="B93" s="3" t="s">
        <v>684</v>
      </c>
      <c r="D93" s="26" t="s">
        <v>237</v>
      </c>
      <c r="E93" s="90">
        <v>0</v>
      </c>
      <c r="F93" s="90">
        <v>0</v>
      </c>
      <c r="G93" s="90">
        <v>0</v>
      </c>
      <c r="H93" s="90">
        <v>0</v>
      </c>
      <c r="I93" s="90">
        <v>0</v>
      </c>
      <c r="J93" s="90">
        <v>0</v>
      </c>
      <c r="K93" s="90">
        <v>0</v>
      </c>
      <c r="L93" s="90">
        <v>0</v>
      </c>
      <c r="M93" s="90">
        <v>0</v>
      </c>
      <c r="N93" s="90">
        <v>0</v>
      </c>
      <c r="O93" s="90">
        <v>0</v>
      </c>
      <c r="P93" s="90">
        <v>0</v>
      </c>
      <c r="Q93" s="96">
        <f t="shared" si="8"/>
        <v>0</v>
      </c>
      <c r="S93" s="35"/>
      <c r="T93" s="40">
        <f t="shared" si="9"/>
        <v>0</v>
      </c>
    </row>
    <row r="94" spans="1:20" ht="26.25" hidden="1" customHeight="1">
      <c r="A94" s="5" t="s">
        <v>562</v>
      </c>
      <c r="B94" s="3" t="s">
        <v>684</v>
      </c>
      <c r="D94" s="26" t="s">
        <v>239</v>
      </c>
      <c r="E94" s="90">
        <v>0</v>
      </c>
      <c r="F94" s="90">
        <v>0</v>
      </c>
      <c r="G94" s="90">
        <v>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  <c r="Q94" s="96">
        <f t="shared" si="8"/>
        <v>0</v>
      </c>
      <c r="S94" s="35"/>
      <c r="T94" s="40">
        <f t="shared" si="9"/>
        <v>0</v>
      </c>
    </row>
    <row r="95" spans="1:20" ht="26.25" hidden="1" customHeight="1">
      <c r="A95" s="5" t="s">
        <v>564</v>
      </c>
      <c r="B95" s="3" t="s">
        <v>684</v>
      </c>
      <c r="D95" s="26" t="s">
        <v>241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6">
        <f t="shared" si="8"/>
        <v>0</v>
      </c>
      <c r="S95" s="35"/>
      <c r="T95" s="40">
        <f t="shared" si="9"/>
        <v>0</v>
      </c>
    </row>
    <row r="96" spans="1:20" ht="26.25" hidden="1" customHeight="1">
      <c r="A96" s="5" t="s">
        <v>566</v>
      </c>
      <c r="B96" s="3" t="s">
        <v>684</v>
      </c>
      <c r="D96" s="26" t="s">
        <v>243</v>
      </c>
      <c r="E96" s="90">
        <v>0</v>
      </c>
      <c r="F96" s="90">
        <v>0</v>
      </c>
      <c r="G96" s="90">
        <v>0</v>
      </c>
      <c r="H96" s="90">
        <v>0</v>
      </c>
      <c r="I96" s="90">
        <v>0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90">
        <v>0</v>
      </c>
      <c r="P96" s="90">
        <v>0</v>
      </c>
      <c r="Q96" s="96">
        <f t="shared" si="8"/>
        <v>0</v>
      </c>
      <c r="S96" s="35"/>
      <c r="T96" s="40">
        <f t="shared" si="9"/>
        <v>0</v>
      </c>
    </row>
    <row r="97" spans="1:20" ht="26.25" hidden="1" customHeight="1">
      <c r="A97" s="5" t="s">
        <v>568</v>
      </c>
      <c r="B97" s="3" t="s">
        <v>684</v>
      </c>
      <c r="D97" s="26" t="s">
        <v>245</v>
      </c>
      <c r="E97" s="90">
        <v>0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6">
        <f t="shared" si="8"/>
        <v>0</v>
      </c>
      <c r="S97" s="35"/>
      <c r="T97" s="40">
        <f t="shared" si="9"/>
        <v>0</v>
      </c>
    </row>
    <row r="98" spans="1:20" ht="26.25" hidden="1" customHeight="1">
      <c r="A98" s="5" t="s">
        <v>570</v>
      </c>
      <c r="B98" s="3" t="s">
        <v>684</v>
      </c>
      <c r="D98" s="26" t="s">
        <v>247</v>
      </c>
      <c r="E98" s="90">
        <v>0</v>
      </c>
      <c r="F98" s="90">
        <v>0</v>
      </c>
      <c r="G98" s="90">
        <v>0</v>
      </c>
      <c r="H98" s="90">
        <v>0</v>
      </c>
      <c r="I98" s="90">
        <v>0</v>
      </c>
      <c r="J98" s="90">
        <v>0</v>
      </c>
      <c r="K98" s="90">
        <v>0</v>
      </c>
      <c r="L98" s="90">
        <v>0</v>
      </c>
      <c r="M98" s="90">
        <v>0</v>
      </c>
      <c r="N98" s="90">
        <v>0</v>
      </c>
      <c r="O98" s="90">
        <v>0</v>
      </c>
      <c r="P98" s="90">
        <v>0</v>
      </c>
      <c r="Q98" s="96">
        <f t="shared" si="8"/>
        <v>0</v>
      </c>
      <c r="S98" s="35"/>
      <c r="T98" s="40">
        <f t="shared" si="9"/>
        <v>0</v>
      </c>
    </row>
    <row r="99" spans="1:20" ht="26.25" hidden="1" customHeight="1">
      <c r="A99" s="5" t="s">
        <v>572</v>
      </c>
      <c r="B99" s="3" t="s">
        <v>684</v>
      </c>
      <c r="D99" s="26" t="s">
        <v>249</v>
      </c>
      <c r="E99" s="90">
        <v>0</v>
      </c>
      <c r="F99" s="90">
        <v>0</v>
      </c>
      <c r="G99" s="90">
        <v>0</v>
      </c>
      <c r="H99" s="90">
        <v>0</v>
      </c>
      <c r="I99" s="90">
        <v>0</v>
      </c>
      <c r="J99" s="90">
        <v>0</v>
      </c>
      <c r="K99" s="90">
        <v>0</v>
      </c>
      <c r="L99" s="90">
        <v>0</v>
      </c>
      <c r="M99" s="90">
        <v>0</v>
      </c>
      <c r="N99" s="90">
        <v>0</v>
      </c>
      <c r="O99" s="90">
        <v>0</v>
      </c>
      <c r="P99" s="90">
        <v>0</v>
      </c>
      <c r="Q99" s="96">
        <f t="shared" si="8"/>
        <v>0</v>
      </c>
      <c r="S99" s="35"/>
      <c r="T99" s="40">
        <f t="shared" si="9"/>
        <v>0</v>
      </c>
    </row>
    <row r="100" spans="1:20" ht="26.25" hidden="1" customHeight="1">
      <c r="A100" s="5" t="s">
        <v>574</v>
      </c>
      <c r="B100" s="3" t="s">
        <v>684</v>
      </c>
      <c r="D100" s="26" t="s">
        <v>251</v>
      </c>
      <c r="E100" s="90">
        <v>0</v>
      </c>
      <c r="F100" s="90">
        <v>0</v>
      </c>
      <c r="G100" s="90">
        <v>0</v>
      </c>
      <c r="H100" s="90">
        <v>0</v>
      </c>
      <c r="I100" s="90">
        <v>0</v>
      </c>
      <c r="J100" s="90">
        <v>0</v>
      </c>
      <c r="K100" s="90">
        <v>0</v>
      </c>
      <c r="L100" s="90">
        <v>0</v>
      </c>
      <c r="M100" s="90">
        <v>0</v>
      </c>
      <c r="N100" s="90">
        <v>0</v>
      </c>
      <c r="O100" s="90">
        <v>0</v>
      </c>
      <c r="P100" s="90">
        <v>0</v>
      </c>
      <c r="Q100" s="96">
        <f t="shared" si="8"/>
        <v>0</v>
      </c>
      <c r="S100" s="35"/>
      <c r="T100" s="40">
        <f t="shared" si="9"/>
        <v>0</v>
      </c>
    </row>
    <row r="101" spans="1:20" ht="26.25" hidden="1" customHeight="1">
      <c r="A101" s="5" t="s">
        <v>576</v>
      </c>
      <c r="B101" s="3" t="s">
        <v>684</v>
      </c>
      <c r="D101" s="26" t="s">
        <v>253</v>
      </c>
      <c r="E101" s="90">
        <v>0</v>
      </c>
      <c r="F101" s="90">
        <v>0</v>
      </c>
      <c r="G101" s="90">
        <v>0</v>
      </c>
      <c r="H101" s="90">
        <v>0</v>
      </c>
      <c r="I101" s="90">
        <v>0</v>
      </c>
      <c r="J101" s="90">
        <v>0</v>
      </c>
      <c r="K101" s="90">
        <v>0</v>
      </c>
      <c r="L101" s="90">
        <v>0</v>
      </c>
      <c r="M101" s="90">
        <v>0</v>
      </c>
      <c r="N101" s="90">
        <v>0</v>
      </c>
      <c r="O101" s="90">
        <v>0</v>
      </c>
      <c r="P101" s="90">
        <v>0</v>
      </c>
      <c r="Q101" s="96">
        <f t="shared" si="8"/>
        <v>0</v>
      </c>
      <c r="S101" s="35"/>
      <c r="T101" s="40">
        <f t="shared" si="9"/>
        <v>0</v>
      </c>
    </row>
    <row r="102" spans="1:20" ht="26.25" hidden="1" customHeight="1">
      <c r="A102" s="5" t="s">
        <v>578</v>
      </c>
      <c r="B102" s="3" t="s">
        <v>684</v>
      </c>
      <c r="D102" s="26" t="s">
        <v>255</v>
      </c>
      <c r="E102" s="90">
        <v>0</v>
      </c>
      <c r="F102" s="90">
        <v>0</v>
      </c>
      <c r="G102" s="90">
        <v>0</v>
      </c>
      <c r="H102" s="90">
        <v>0</v>
      </c>
      <c r="I102" s="90">
        <v>0</v>
      </c>
      <c r="J102" s="90">
        <v>0</v>
      </c>
      <c r="K102" s="90">
        <v>0</v>
      </c>
      <c r="L102" s="90">
        <v>0</v>
      </c>
      <c r="M102" s="90">
        <v>0</v>
      </c>
      <c r="N102" s="90">
        <v>0</v>
      </c>
      <c r="O102" s="90">
        <v>0</v>
      </c>
      <c r="P102" s="90">
        <v>0</v>
      </c>
      <c r="Q102" s="96">
        <f t="shared" si="8"/>
        <v>0</v>
      </c>
      <c r="S102" s="35"/>
      <c r="T102" s="40">
        <f t="shared" si="9"/>
        <v>0</v>
      </c>
    </row>
    <row r="103" spans="1:20" ht="26.25" hidden="1" customHeight="1">
      <c r="A103" s="5" t="s">
        <v>580</v>
      </c>
      <c r="B103" s="3" t="s">
        <v>684</v>
      </c>
      <c r="D103" s="26" t="s">
        <v>257</v>
      </c>
      <c r="E103" s="90">
        <v>0</v>
      </c>
      <c r="F103" s="90">
        <v>0</v>
      </c>
      <c r="G103" s="90">
        <v>0</v>
      </c>
      <c r="H103" s="90">
        <v>0</v>
      </c>
      <c r="I103" s="90">
        <v>0</v>
      </c>
      <c r="J103" s="90">
        <v>0</v>
      </c>
      <c r="K103" s="90">
        <v>0</v>
      </c>
      <c r="L103" s="90">
        <v>0</v>
      </c>
      <c r="M103" s="90">
        <v>0</v>
      </c>
      <c r="N103" s="90">
        <v>0</v>
      </c>
      <c r="O103" s="90">
        <v>0</v>
      </c>
      <c r="P103" s="90">
        <v>0</v>
      </c>
      <c r="Q103" s="96">
        <f t="shared" si="8"/>
        <v>0</v>
      </c>
      <c r="S103" s="35"/>
      <c r="T103" s="40">
        <f t="shared" si="9"/>
        <v>0</v>
      </c>
    </row>
    <row r="104" spans="1:20" ht="26.25" hidden="1" customHeight="1">
      <c r="A104" s="5" t="s">
        <v>582</v>
      </c>
      <c r="B104" s="3" t="s">
        <v>684</v>
      </c>
      <c r="D104" s="26" t="s">
        <v>259</v>
      </c>
      <c r="E104" s="90">
        <v>0</v>
      </c>
      <c r="F104" s="90">
        <v>0</v>
      </c>
      <c r="G104" s="90">
        <v>0</v>
      </c>
      <c r="H104" s="90">
        <v>0</v>
      </c>
      <c r="I104" s="90">
        <v>0</v>
      </c>
      <c r="J104" s="90">
        <v>0</v>
      </c>
      <c r="K104" s="90">
        <v>0</v>
      </c>
      <c r="L104" s="90">
        <v>0</v>
      </c>
      <c r="M104" s="90">
        <v>0</v>
      </c>
      <c r="N104" s="90">
        <v>0</v>
      </c>
      <c r="O104" s="90">
        <v>0</v>
      </c>
      <c r="P104" s="90">
        <v>0</v>
      </c>
      <c r="Q104" s="96">
        <f t="shared" si="8"/>
        <v>0</v>
      </c>
      <c r="S104" s="35"/>
      <c r="T104" s="40">
        <f t="shared" si="9"/>
        <v>0</v>
      </c>
    </row>
    <row r="105" spans="1:20" ht="26.25" hidden="1" customHeight="1">
      <c r="A105" s="5" t="s">
        <v>584</v>
      </c>
      <c r="B105" s="3" t="s">
        <v>684</v>
      </c>
      <c r="D105" s="26" t="s">
        <v>261</v>
      </c>
      <c r="E105" s="90">
        <v>0</v>
      </c>
      <c r="F105" s="90">
        <v>0</v>
      </c>
      <c r="G105" s="90">
        <v>0</v>
      </c>
      <c r="H105" s="90">
        <v>0</v>
      </c>
      <c r="I105" s="90">
        <v>0</v>
      </c>
      <c r="J105" s="90">
        <v>0</v>
      </c>
      <c r="K105" s="90">
        <v>0</v>
      </c>
      <c r="L105" s="90">
        <v>0</v>
      </c>
      <c r="M105" s="90">
        <v>0</v>
      </c>
      <c r="N105" s="90">
        <v>0</v>
      </c>
      <c r="O105" s="90">
        <v>0</v>
      </c>
      <c r="P105" s="90">
        <v>0</v>
      </c>
      <c r="Q105" s="96">
        <f t="shared" si="8"/>
        <v>0</v>
      </c>
      <c r="S105" s="35"/>
      <c r="T105" s="40">
        <f t="shared" si="9"/>
        <v>0</v>
      </c>
    </row>
    <row r="106" spans="1:20" ht="26.25" hidden="1" customHeight="1">
      <c r="A106" s="5" t="s">
        <v>586</v>
      </c>
      <c r="B106" s="3" t="s">
        <v>684</v>
      </c>
      <c r="D106" s="26" t="s">
        <v>263</v>
      </c>
      <c r="E106" s="90">
        <v>0</v>
      </c>
      <c r="F106" s="90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6">
        <f t="shared" si="8"/>
        <v>0</v>
      </c>
      <c r="S106" s="35"/>
      <c r="T106" s="40">
        <f t="shared" si="9"/>
        <v>0</v>
      </c>
    </row>
    <row r="107" spans="1:20" ht="26.25" hidden="1" customHeight="1">
      <c r="A107" s="5" t="s">
        <v>588</v>
      </c>
      <c r="B107" s="3" t="s">
        <v>684</v>
      </c>
      <c r="D107" s="26" t="s">
        <v>265</v>
      </c>
      <c r="E107" s="90">
        <v>0</v>
      </c>
      <c r="F107" s="90">
        <v>0</v>
      </c>
      <c r="G107" s="90">
        <v>0</v>
      </c>
      <c r="H107" s="90">
        <v>0</v>
      </c>
      <c r="I107" s="90">
        <v>0</v>
      </c>
      <c r="J107" s="90">
        <v>0</v>
      </c>
      <c r="K107" s="90">
        <v>0</v>
      </c>
      <c r="L107" s="90">
        <v>0</v>
      </c>
      <c r="M107" s="90">
        <v>0</v>
      </c>
      <c r="N107" s="90">
        <v>0</v>
      </c>
      <c r="O107" s="90">
        <v>0</v>
      </c>
      <c r="P107" s="90">
        <v>0</v>
      </c>
      <c r="Q107" s="96">
        <f t="shared" si="8"/>
        <v>0</v>
      </c>
      <c r="S107" s="35"/>
      <c r="T107" s="40">
        <f t="shared" si="9"/>
        <v>0</v>
      </c>
    </row>
    <row r="108" spans="1:20" ht="26.25" hidden="1" customHeight="1">
      <c r="A108" s="5" t="s">
        <v>590</v>
      </c>
      <c r="B108" s="3" t="s">
        <v>684</v>
      </c>
      <c r="D108" s="26" t="s">
        <v>267</v>
      </c>
      <c r="E108" s="90">
        <v>0</v>
      </c>
      <c r="F108" s="90">
        <v>0</v>
      </c>
      <c r="G108" s="90">
        <v>0</v>
      </c>
      <c r="H108" s="90">
        <v>0</v>
      </c>
      <c r="I108" s="90">
        <v>0</v>
      </c>
      <c r="J108" s="90">
        <v>0</v>
      </c>
      <c r="K108" s="90">
        <v>0</v>
      </c>
      <c r="L108" s="90">
        <v>0</v>
      </c>
      <c r="M108" s="90">
        <v>0</v>
      </c>
      <c r="N108" s="90">
        <v>0</v>
      </c>
      <c r="O108" s="90">
        <v>0</v>
      </c>
      <c r="P108" s="90">
        <v>0</v>
      </c>
      <c r="Q108" s="96">
        <f t="shared" si="8"/>
        <v>0</v>
      </c>
      <c r="S108" s="35"/>
      <c r="T108" s="40">
        <f t="shared" si="9"/>
        <v>0</v>
      </c>
    </row>
    <row r="109" spans="1:20" ht="26.25" hidden="1" customHeight="1">
      <c r="A109" s="5" t="s">
        <v>592</v>
      </c>
      <c r="B109" s="3" t="s">
        <v>684</v>
      </c>
      <c r="D109" s="26" t="s">
        <v>269</v>
      </c>
      <c r="E109" s="90">
        <v>0</v>
      </c>
      <c r="F109" s="90">
        <v>0</v>
      </c>
      <c r="G109" s="90">
        <v>0</v>
      </c>
      <c r="H109" s="90">
        <v>0</v>
      </c>
      <c r="I109" s="90">
        <v>0</v>
      </c>
      <c r="J109" s="90">
        <v>0</v>
      </c>
      <c r="K109" s="90">
        <v>0</v>
      </c>
      <c r="L109" s="90">
        <v>0</v>
      </c>
      <c r="M109" s="90">
        <v>0</v>
      </c>
      <c r="N109" s="90">
        <v>0</v>
      </c>
      <c r="O109" s="90">
        <v>0</v>
      </c>
      <c r="P109" s="90">
        <v>0</v>
      </c>
      <c r="Q109" s="96">
        <f t="shared" si="8"/>
        <v>0</v>
      </c>
      <c r="S109" s="35"/>
      <c r="T109" s="40">
        <f t="shared" si="9"/>
        <v>0</v>
      </c>
    </row>
    <row r="110" spans="1:20" ht="26.25" hidden="1" customHeight="1">
      <c r="A110" s="5" t="s">
        <v>270</v>
      </c>
      <c r="B110" s="3" t="s">
        <v>684</v>
      </c>
      <c r="D110" s="26" t="s">
        <v>271</v>
      </c>
      <c r="E110" s="90">
        <v>0</v>
      </c>
      <c r="F110" s="90">
        <v>0</v>
      </c>
      <c r="G110" s="90">
        <v>0</v>
      </c>
      <c r="H110" s="90">
        <v>0</v>
      </c>
      <c r="I110" s="90">
        <v>0</v>
      </c>
      <c r="J110" s="90">
        <v>0</v>
      </c>
      <c r="K110" s="90">
        <v>0</v>
      </c>
      <c r="L110" s="90">
        <v>0</v>
      </c>
      <c r="M110" s="90">
        <v>0</v>
      </c>
      <c r="N110" s="90">
        <v>0</v>
      </c>
      <c r="O110" s="90">
        <v>0</v>
      </c>
      <c r="P110" s="90">
        <v>0</v>
      </c>
      <c r="Q110" s="96">
        <f t="shared" ref="Q110:Q112" si="10">SUM(E110:P110)</f>
        <v>0</v>
      </c>
      <c r="S110" s="35"/>
      <c r="T110" s="40">
        <f t="shared" si="9"/>
        <v>0</v>
      </c>
    </row>
    <row r="111" spans="1:20" ht="26.25" hidden="1" customHeight="1">
      <c r="A111" s="5" t="s">
        <v>272</v>
      </c>
      <c r="B111" s="3" t="s">
        <v>684</v>
      </c>
      <c r="D111" s="26" t="s">
        <v>273</v>
      </c>
      <c r="E111" s="90">
        <v>0</v>
      </c>
      <c r="F111" s="90">
        <v>0</v>
      </c>
      <c r="G111" s="90">
        <v>0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90">
        <v>0</v>
      </c>
      <c r="O111" s="90">
        <v>0</v>
      </c>
      <c r="P111" s="90">
        <v>0</v>
      </c>
      <c r="Q111" s="96">
        <f t="shared" si="10"/>
        <v>0</v>
      </c>
      <c r="S111" s="35"/>
      <c r="T111" s="40">
        <f t="shared" si="9"/>
        <v>0</v>
      </c>
    </row>
    <row r="112" spans="1:20" ht="26.25" customHeight="1">
      <c r="A112" s="5" t="s">
        <v>595</v>
      </c>
      <c r="B112" s="3" t="s">
        <v>684</v>
      </c>
      <c r="D112" s="26" t="s">
        <v>275</v>
      </c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6">
        <f t="shared" si="10"/>
        <v>0</v>
      </c>
      <c r="R112" s="114" t="e">
        <f>Q112/$Q$21</f>
        <v>#DIV/0!</v>
      </c>
      <c r="S112" s="35"/>
      <c r="T112" s="40">
        <f>-IF(S112&lt;&gt;0,(Q112-S112)/S112,1)</f>
        <v>-1</v>
      </c>
    </row>
    <row r="113" spans="1:20" ht="26.25" customHeight="1">
      <c r="D113" s="21" t="s">
        <v>758</v>
      </c>
      <c r="E113" s="91">
        <f>SUM(E45:E112)</f>
        <v>0</v>
      </c>
      <c r="F113" s="91">
        <f t="shared" ref="F113:Q113" si="11">SUM(F45:F112)</f>
        <v>0</v>
      </c>
      <c r="G113" s="91">
        <f t="shared" si="11"/>
        <v>0</v>
      </c>
      <c r="H113" s="91">
        <f t="shared" si="11"/>
        <v>0</v>
      </c>
      <c r="I113" s="91">
        <f t="shared" si="11"/>
        <v>0</v>
      </c>
      <c r="J113" s="91">
        <f t="shared" si="11"/>
        <v>0</v>
      </c>
      <c r="K113" s="91">
        <f t="shared" si="11"/>
        <v>0</v>
      </c>
      <c r="L113" s="91">
        <f t="shared" si="11"/>
        <v>0</v>
      </c>
      <c r="M113" s="91">
        <f t="shared" si="11"/>
        <v>0</v>
      </c>
      <c r="N113" s="91">
        <f t="shared" si="11"/>
        <v>0</v>
      </c>
      <c r="O113" s="91">
        <f t="shared" si="11"/>
        <v>0</v>
      </c>
      <c r="P113" s="91">
        <f t="shared" si="11"/>
        <v>0</v>
      </c>
      <c r="Q113" s="91">
        <f t="shared" si="11"/>
        <v>0</v>
      </c>
      <c r="R113" s="114" t="e">
        <f>Q113/$Q$21</f>
        <v>#DIV/0!</v>
      </c>
      <c r="S113" s="35"/>
      <c r="T113" s="40">
        <f>-IF(S113&lt;&gt;0,(Q113-S113)/S113,1)</f>
        <v>-1</v>
      </c>
    </row>
    <row r="114" spans="1:20" ht="26.25" customHeight="1">
      <c r="D114" s="21" t="s">
        <v>759</v>
      </c>
      <c r="E114" s="91">
        <f>E21-E40-E42-E113</f>
        <v>0</v>
      </c>
      <c r="F114" s="91">
        <f t="shared" ref="F114:Q114" si="12">F21-F40-F42-F113</f>
        <v>0</v>
      </c>
      <c r="G114" s="91">
        <f t="shared" si="12"/>
        <v>0</v>
      </c>
      <c r="H114" s="91">
        <f t="shared" si="12"/>
        <v>0</v>
      </c>
      <c r="I114" s="91">
        <f t="shared" si="12"/>
        <v>0</v>
      </c>
      <c r="J114" s="91">
        <f t="shared" si="12"/>
        <v>0</v>
      </c>
      <c r="K114" s="91">
        <f t="shared" si="12"/>
        <v>0</v>
      </c>
      <c r="L114" s="91">
        <f t="shared" si="12"/>
        <v>0</v>
      </c>
      <c r="M114" s="91">
        <f t="shared" si="12"/>
        <v>0</v>
      </c>
      <c r="N114" s="91">
        <f t="shared" si="12"/>
        <v>0</v>
      </c>
      <c r="O114" s="91">
        <f t="shared" si="12"/>
        <v>0</v>
      </c>
      <c r="P114" s="91">
        <f t="shared" si="12"/>
        <v>0</v>
      </c>
      <c r="Q114" s="91">
        <f t="shared" si="12"/>
        <v>0</v>
      </c>
      <c r="R114" s="114" t="e">
        <f>Q114/$Q$21</f>
        <v>#DIV/0!</v>
      </c>
      <c r="S114" s="35"/>
      <c r="T114" s="40">
        <f t="shared" si="9"/>
        <v>0</v>
      </c>
    </row>
    <row r="115" spans="1:20" ht="26.25" customHeight="1">
      <c r="A115" s="5" t="s">
        <v>760</v>
      </c>
      <c r="B115" s="3" t="s">
        <v>684</v>
      </c>
      <c r="D115" s="21" t="s">
        <v>353</v>
      </c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</row>
    <row r="116" spans="1:20" ht="26.25" customHeight="1">
      <c r="E116" s="67"/>
      <c r="F116" s="99"/>
      <c r="G116" s="67"/>
      <c r="H116" s="100"/>
      <c r="I116" s="67"/>
      <c r="J116" s="99"/>
      <c r="K116" s="67"/>
      <c r="L116" s="102"/>
      <c r="M116" s="67"/>
      <c r="N116" s="99"/>
      <c r="O116" s="103"/>
      <c r="P116" s="103"/>
      <c r="Q116" s="103"/>
    </row>
    <row r="117" spans="1:20" ht="26.25" customHeight="1">
      <c r="D117" s="21" t="s">
        <v>761</v>
      </c>
      <c r="E117" s="67"/>
      <c r="F117" s="99"/>
      <c r="G117" s="67"/>
      <c r="H117" s="100"/>
      <c r="I117" s="67"/>
      <c r="J117" s="99"/>
      <c r="K117" s="67"/>
      <c r="L117" s="102"/>
      <c r="M117" s="67"/>
      <c r="N117" s="99"/>
      <c r="O117" s="103"/>
      <c r="P117" s="103"/>
      <c r="Q117" s="103"/>
    </row>
    <row r="118" spans="1:20" ht="26.25" customHeight="1">
      <c r="D118" s="21" t="s">
        <v>762</v>
      </c>
      <c r="E118" s="67"/>
      <c r="F118" s="99"/>
      <c r="G118" s="67"/>
      <c r="H118" s="100"/>
      <c r="I118" s="67"/>
      <c r="J118" s="99"/>
      <c r="K118" s="67"/>
      <c r="L118" s="102"/>
      <c r="M118" s="67"/>
      <c r="N118" s="99"/>
      <c r="O118" s="103"/>
      <c r="P118" s="103"/>
      <c r="Q118" s="103"/>
    </row>
    <row r="119" spans="1:20" ht="26.25" customHeight="1">
      <c r="A119" s="5" t="s">
        <v>297</v>
      </c>
      <c r="B119" s="3" t="s">
        <v>684</v>
      </c>
      <c r="D119" s="26" t="s">
        <v>763</v>
      </c>
      <c r="E119" s="90">
        <v>0</v>
      </c>
      <c r="F119" s="90">
        <v>0</v>
      </c>
      <c r="G119" s="90">
        <v>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90">
        <v>0</v>
      </c>
      <c r="O119" s="90">
        <v>0</v>
      </c>
      <c r="P119" s="90">
        <v>0</v>
      </c>
      <c r="Q119" s="96">
        <f>SUM(E119:P119)</f>
        <v>0</v>
      </c>
    </row>
    <row r="120" spans="1:20" ht="26.25" customHeight="1">
      <c r="A120" s="5" t="s">
        <v>300</v>
      </c>
      <c r="B120" s="3" t="s">
        <v>684</v>
      </c>
      <c r="D120" s="26" t="s">
        <v>764</v>
      </c>
      <c r="E120" s="90">
        <v>0</v>
      </c>
      <c r="F120" s="90">
        <v>0</v>
      </c>
      <c r="G120" s="90">
        <v>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90">
        <v>0</v>
      </c>
      <c r="O120" s="90">
        <v>0</v>
      </c>
      <c r="P120" s="90">
        <v>0</v>
      </c>
      <c r="Q120" s="104">
        <f>SUM(E120:P120)</f>
        <v>0</v>
      </c>
    </row>
    <row r="121" spans="1:20" ht="26.25" customHeight="1">
      <c r="D121" s="21" t="s">
        <v>765</v>
      </c>
      <c r="E121" s="91">
        <f>SUM(E119:E120)</f>
        <v>0</v>
      </c>
      <c r="F121" s="91">
        <f t="shared" ref="F121:Q121" si="13">SUM(F119:F120)</f>
        <v>0</v>
      </c>
      <c r="G121" s="91">
        <f t="shared" si="13"/>
        <v>0</v>
      </c>
      <c r="H121" s="91">
        <f t="shared" si="13"/>
        <v>0</v>
      </c>
      <c r="I121" s="91">
        <f t="shared" si="13"/>
        <v>0</v>
      </c>
      <c r="J121" s="91">
        <f t="shared" si="13"/>
        <v>0</v>
      </c>
      <c r="K121" s="91">
        <f t="shared" si="13"/>
        <v>0</v>
      </c>
      <c r="L121" s="91">
        <f t="shared" si="13"/>
        <v>0</v>
      </c>
      <c r="M121" s="91">
        <f t="shared" si="13"/>
        <v>0</v>
      </c>
      <c r="N121" s="91">
        <f t="shared" si="13"/>
        <v>0</v>
      </c>
      <c r="O121" s="91">
        <f t="shared" si="13"/>
        <v>0</v>
      </c>
      <c r="P121" s="91">
        <f t="shared" si="13"/>
        <v>0</v>
      </c>
      <c r="Q121" s="92">
        <f t="shared" si="13"/>
        <v>0</v>
      </c>
    </row>
    <row r="122" spans="1:20" ht="26.25" customHeight="1">
      <c r="E122" s="67"/>
      <c r="F122" s="99"/>
      <c r="G122" s="67"/>
      <c r="H122" s="100"/>
      <c r="I122" s="67"/>
      <c r="J122" s="99"/>
      <c r="K122" s="67"/>
      <c r="L122" s="102"/>
      <c r="M122" s="67"/>
      <c r="N122" s="99"/>
      <c r="O122" s="103"/>
      <c r="P122" s="103"/>
      <c r="Q122" s="103"/>
    </row>
    <row r="123" spans="1:20" ht="26.25" customHeight="1">
      <c r="A123" s="5" t="s">
        <v>603</v>
      </c>
      <c r="B123" s="3" t="s">
        <v>684</v>
      </c>
      <c r="D123" s="26" t="s">
        <v>766</v>
      </c>
      <c r="E123" s="90">
        <v>0</v>
      </c>
      <c r="F123" s="90">
        <v>0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90">
        <v>0</v>
      </c>
      <c r="P123" s="90">
        <v>0</v>
      </c>
      <c r="Q123" s="96">
        <f>SUM(E123:P123)</f>
        <v>0</v>
      </c>
    </row>
    <row r="124" spans="1:20" ht="26.25" customHeight="1">
      <c r="A124" s="5" t="s">
        <v>310</v>
      </c>
      <c r="B124" s="3" t="s">
        <v>684</v>
      </c>
      <c r="D124" s="26" t="s">
        <v>767</v>
      </c>
      <c r="E124" s="90">
        <v>0</v>
      </c>
      <c r="F124" s="90">
        <v>0</v>
      </c>
      <c r="G124" s="90">
        <v>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90">
        <v>0</v>
      </c>
      <c r="O124" s="90">
        <v>0</v>
      </c>
      <c r="P124" s="90">
        <v>0</v>
      </c>
      <c r="Q124" s="96">
        <f t="shared" ref="Q124:Q127" si="14">SUM(E124:P124)</f>
        <v>0</v>
      </c>
    </row>
    <row r="125" spans="1:20" ht="26.25" customHeight="1">
      <c r="A125" s="5" t="s">
        <v>604</v>
      </c>
      <c r="B125" s="3" t="s">
        <v>684</v>
      </c>
      <c r="D125" s="26" t="s">
        <v>768</v>
      </c>
      <c r="E125" s="90">
        <v>0</v>
      </c>
      <c r="F125" s="90">
        <v>0</v>
      </c>
      <c r="G125" s="90">
        <v>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  <c r="Q125" s="96">
        <f t="shared" si="14"/>
        <v>0</v>
      </c>
    </row>
    <row r="126" spans="1:20" ht="26.25" customHeight="1">
      <c r="A126" s="5" t="s">
        <v>605</v>
      </c>
      <c r="B126" s="3" t="s">
        <v>684</v>
      </c>
      <c r="D126" s="26" t="s">
        <v>769</v>
      </c>
      <c r="E126" s="90">
        <v>0</v>
      </c>
      <c r="F126" s="90">
        <v>0</v>
      </c>
      <c r="G126" s="90">
        <v>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90">
        <v>0</v>
      </c>
      <c r="O126" s="90">
        <v>0</v>
      </c>
      <c r="P126" s="90">
        <v>0</v>
      </c>
      <c r="Q126" s="96">
        <f t="shared" si="14"/>
        <v>0</v>
      </c>
    </row>
    <row r="127" spans="1:20" ht="26.25" customHeight="1">
      <c r="A127" s="5" t="s">
        <v>606</v>
      </c>
      <c r="B127" s="3" t="s">
        <v>684</v>
      </c>
      <c r="D127" s="26" t="s">
        <v>770</v>
      </c>
      <c r="E127" s="90">
        <v>0</v>
      </c>
      <c r="F127" s="90">
        <v>0</v>
      </c>
      <c r="G127" s="90">
        <v>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90">
        <v>0</v>
      </c>
      <c r="O127" s="90">
        <v>0</v>
      </c>
      <c r="P127" s="90">
        <v>0</v>
      </c>
      <c r="Q127" s="104">
        <f t="shared" si="14"/>
        <v>0</v>
      </c>
    </row>
    <row r="128" spans="1:20" ht="26.25" customHeight="1">
      <c r="A128" s="5" t="s">
        <v>1066</v>
      </c>
      <c r="B128" s="5" t="s">
        <v>687</v>
      </c>
      <c r="D128" s="26" t="s">
        <v>1136</v>
      </c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113">
        <f t="shared" ref="Q128:Q129" si="15">SUM(E128:P128)</f>
        <v>0</v>
      </c>
      <c r="R128" s="39">
        <f t="shared" ref="R128:R129" si="16">IF($Q$14=0,0,Q128/$Q$14)</f>
        <v>0</v>
      </c>
      <c r="S128" s="35"/>
      <c r="T128" s="40">
        <f t="shared" ref="T128:T129" si="17">-IF(Q128-S128=0,0,(Q128-S128)/S128)</f>
        <v>0</v>
      </c>
    </row>
    <row r="129" spans="1:20" ht="26.25" customHeight="1">
      <c r="A129" s="5" t="s">
        <v>1066</v>
      </c>
      <c r="B129" s="5" t="s">
        <v>687</v>
      </c>
      <c r="D129" s="26" t="s">
        <v>1070</v>
      </c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113">
        <f t="shared" si="15"/>
        <v>0</v>
      </c>
      <c r="R129" s="39">
        <f t="shared" si="16"/>
        <v>0</v>
      </c>
      <c r="S129" s="35"/>
      <c r="T129" s="40">
        <f t="shared" si="17"/>
        <v>0</v>
      </c>
    </row>
    <row r="130" spans="1:20" ht="26.25" customHeight="1">
      <c r="D130" s="21" t="s">
        <v>771</v>
      </c>
      <c r="E130" s="91">
        <f>SUM(E123:E127)</f>
        <v>0</v>
      </c>
      <c r="F130" s="91">
        <f t="shared" ref="F130:Q130" si="18">SUM(F123:F127)</f>
        <v>0</v>
      </c>
      <c r="G130" s="91">
        <f t="shared" si="18"/>
        <v>0</v>
      </c>
      <c r="H130" s="91">
        <f t="shared" si="18"/>
        <v>0</v>
      </c>
      <c r="I130" s="91">
        <f t="shared" si="18"/>
        <v>0</v>
      </c>
      <c r="J130" s="91">
        <f t="shared" si="18"/>
        <v>0</v>
      </c>
      <c r="K130" s="91">
        <f t="shared" si="18"/>
        <v>0</v>
      </c>
      <c r="L130" s="91">
        <f t="shared" si="18"/>
        <v>0</v>
      </c>
      <c r="M130" s="91">
        <f t="shared" si="18"/>
        <v>0</v>
      </c>
      <c r="N130" s="91">
        <f t="shared" si="18"/>
        <v>0</v>
      </c>
      <c r="O130" s="91">
        <f t="shared" si="18"/>
        <v>0</v>
      </c>
      <c r="P130" s="91">
        <f t="shared" si="18"/>
        <v>0</v>
      </c>
      <c r="Q130" s="92">
        <f t="shared" si="18"/>
        <v>0</v>
      </c>
    </row>
    <row r="131" spans="1:20" ht="26.25" customHeight="1">
      <c r="E131" s="67"/>
      <c r="F131" s="99"/>
      <c r="G131" s="67"/>
      <c r="H131" s="100"/>
      <c r="I131" s="67"/>
      <c r="J131" s="99"/>
      <c r="K131" s="67"/>
      <c r="L131" s="102"/>
      <c r="M131" s="67"/>
      <c r="N131" s="99"/>
      <c r="O131" s="103"/>
      <c r="P131" s="103"/>
      <c r="Q131" s="103"/>
    </row>
    <row r="132" spans="1:20" ht="26.25" customHeight="1">
      <c r="A132" s="5" t="s">
        <v>609</v>
      </c>
      <c r="B132" s="3" t="s">
        <v>684</v>
      </c>
      <c r="D132" s="26" t="s">
        <v>772</v>
      </c>
      <c r="E132" s="90">
        <v>0</v>
      </c>
      <c r="F132" s="90">
        <v>0</v>
      </c>
      <c r="G132" s="90">
        <v>0</v>
      </c>
      <c r="H132" s="90">
        <v>0</v>
      </c>
      <c r="I132" s="90">
        <v>0</v>
      </c>
      <c r="J132" s="90">
        <v>0</v>
      </c>
      <c r="K132" s="90">
        <v>0</v>
      </c>
      <c r="L132" s="90">
        <v>0</v>
      </c>
      <c r="M132" s="90">
        <v>0</v>
      </c>
      <c r="N132" s="90">
        <v>0</v>
      </c>
      <c r="O132" s="90">
        <v>0</v>
      </c>
      <c r="P132" s="90">
        <v>0</v>
      </c>
      <c r="Q132" s="96">
        <f>SUM(E132:P132)</f>
        <v>0</v>
      </c>
    </row>
    <row r="133" spans="1:20" ht="26.25" customHeight="1">
      <c r="A133" s="5" t="s">
        <v>610</v>
      </c>
      <c r="B133" s="3" t="s">
        <v>684</v>
      </c>
      <c r="D133" s="26" t="s">
        <v>773</v>
      </c>
      <c r="E133" s="90">
        <v>0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0">
        <v>0</v>
      </c>
      <c r="L133" s="90">
        <v>0</v>
      </c>
      <c r="M133" s="90">
        <v>0</v>
      </c>
      <c r="N133" s="90">
        <v>0</v>
      </c>
      <c r="O133" s="90">
        <v>0</v>
      </c>
      <c r="P133" s="90">
        <v>0</v>
      </c>
      <c r="Q133" s="96">
        <f t="shared" ref="Q133:Q139" si="19">SUM(E133:P133)</f>
        <v>0</v>
      </c>
    </row>
    <row r="134" spans="1:20" ht="26.25" customHeight="1">
      <c r="A134" s="5" t="s">
        <v>611</v>
      </c>
      <c r="B134" s="3" t="s">
        <v>684</v>
      </c>
      <c r="D134" s="26" t="s">
        <v>774</v>
      </c>
      <c r="E134" s="90">
        <v>0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0">
        <v>0</v>
      </c>
      <c r="L134" s="90">
        <v>0</v>
      </c>
      <c r="M134" s="90">
        <v>0</v>
      </c>
      <c r="N134" s="90">
        <v>0</v>
      </c>
      <c r="O134" s="90">
        <v>0</v>
      </c>
      <c r="P134" s="90">
        <v>0</v>
      </c>
      <c r="Q134" s="96">
        <f t="shared" si="19"/>
        <v>0</v>
      </c>
    </row>
    <row r="135" spans="1:20" ht="26.25" customHeight="1">
      <c r="A135" s="5" t="s">
        <v>612</v>
      </c>
      <c r="B135" s="3" t="s">
        <v>684</v>
      </c>
      <c r="D135" s="26" t="s">
        <v>775</v>
      </c>
      <c r="E135" s="90">
        <v>0</v>
      </c>
      <c r="F135" s="90">
        <v>0</v>
      </c>
      <c r="G135" s="90">
        <v>0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90">
        <v>0</v>
      </c>
      <c r="O135" s="90">
        <v>0</v>
      </c>
      <c r="P135" s="90">
        <v>0</v>
      </c>
      <c r="Q135" s="96">
        <f t="shared" si="19"/>
        <v>0</v>
      </c>
    </row>
    <row r="136" spans="1:20" ht="26.25" customHeight="1">
      <c r="A136" s="5" t="s">
        <v>613</v>
      </c>
      <c r="B136" s="3" t="s">
        <v>684</v>
      </c>
      <c r="D136" s="26" t="s">
        <v>776</v>
      </c>
      <c r="E136" s="90">
        <v>0</v>
      </c>
      <c r="F136" s="90">
        <v>0</v>
      </c>
      <c r="G136" s="90">
        <v>0</v>
      </c>
      <c r="H136" s="90">
        <v>0</v>
      </c>
      <c r="I136" s="90">
        <v>0</v>
      </c>
      <c r="J136" s="90">
        <v>0</v>
      </c>
      <c r="K136" s="90">
        <v>0</v>
      </c>
      <c r="L136" s="90">
        <v>0</v>
      </c>
      <c r="M136" s="90">
        <v>0</v>
      </c>
      <c r="N136" s="90">
        <v>0</v>
      </c>
      <c r="O136" s="90">
        <v>0</v>
      </c>
      <c r="P136" s="90">
        <v>0</v>
      </c>
      <c r="Q136" s="96">
        <f t="shared" si="19"/>
        <v>0</v>
      </c>
    </row>
    <row r="137" spans="1:20" ht="26.25" customHeight="1">
      <c r="A137" s="5" t="s">
        <v>614</v>
      </c>
      <c r="B137" s="3" t="s">
        <v>684</v>
      </c>
      <c r="D137" s="26" t="s">
        <v>777</v>
      </c>
      <c r="E137" s="90">
        <v>0</v>
      </c>
      <c r="F137" s="90">
        <v>0</v>
      </c>
      <c r="G137" s="90">
        <v>0</v>
      </c>
      <c r="H137" s="90">
        <v>0</v>
      </c>
      <c r="I137" s="90">
        <v>0</v>
      </c>
      <c r="J137" s="90">
        <v>0</v>
      </c>
      <c r="K137" s="90">
        <v>0</v>
      </c>
      <c r="L137" s="90">
        <v>0</v>
      </c>
      <c r="M137" s="90">
        <v>0</v>
      </c>
      <c r="N137" s="90">
        <v>0</v>
      </c>
      <c r="O137" s="90">
        <v>0</v>
      </c>
      <c r="P137" s="90">
        <v>0</v>
      </c>
      <c r="Q137" s="96">
        <f t="shared" si="19"/>
        <v>0</v>
      </c>
    </row>
    <row r="138" spans="1:20" ht="26.25" customHeight="1">
      <c r="A138" s="5" t="s">
        <v>615</v>
      </c>
      <c r="B138" s="3" t="s">
        <v>684</v>
      </c>
      <c r="D138" s="26" t="s">
        <v>778</v>
      </c>
      <c r="E138" s="90">
        <v>0</v>
      </c>
      <c r="F138" s="90">
        <v>0</v>
      </c>
      <c r="G138" s="90">
        <v>0</v>
      </c>
      <c r="H138" s="90">
        <v>0</v>
      </c>
      <c r="I138" s="90">
        <v>0</v>
      </c>
      <c r="J138" s="90">
        <v>0</v>
      </c>
      <c r="K138" s="90">
        <v>0</v>
      </c>
      <c r="L138" s="90">
        <v>0</v>
      </c>
      <c r="M138" s="90">
        <v>0</v>
      </c>
      <c r="N138" s="90">
        <v>0</v>
      </c>
      <c r="O138" s="90">
        <v>0</v>
      </c>
      <c r="P138" s="90">
        <v>0</v>
      </c>
      <c r="Q138" s="96">
        <f t="shared" si="19"/>
        <v>0</v>
      </c>
    </row>
    <row r="139" spans="1:20" ht="26.25" customHeight="1">
      <c r="A139" s="5" t="s">
        <v>616</v>
      </c>
      <c r="B139" s="3" t="s">
        <v>684</v>
      </c>
      <c r="D139" s="26" t="s">
        <v>779</v>
      </c>
      <c r="E139" s="90">
        <v>0</v>
      </c>
      <c r="F139" s="90">
        <v>0</v>
      </c>
      <c r="G139" s="90">
        <v>0</v>
      </c>
      <c r="H139" s="90">
        <v>0</v>
      </c>
      <c r="I139" s="90">
        <v>0</v>
      </c>
      <c r="J139" s="90">
        <v>0</v>
      </c>
      <c r="K139" s="90">
        <v>0</v>
      </c>
      <c r="L139" s="90">
        <v>0</v>
      </c>
      <c r="M139" s="90">
        <v>0</v>
      </c>
      <c r="N139" s="90">
        <v>0</v>
      </c>
      <c r="O139" s="90">
        <v>0</v>
      </c>
      <c r="P139" s="90">
        <v>0</v>
      </c>
      <c r="Q139" s="104">
        <f t="shared" si="19"/>
        <v>0</v>
      </c>
    </row>
    <row r="140" spans="1:20" ht="26.25" customHeight="1">
      <c r="D140" s="21" t="s">
        <v>780</v>
      </c>
      <c r="E140" s="91">
        <f>SUM(E132:E139)</f>
        <v>0</v>
      </c>
      <c r="F140" s="91">
        <f t="shared" ref="F140:P140" si="20">SUM(F132:F139)</f>
        <v>0</v>
      </c>
      <c r="G140" s="91">
        <f t="shared" si="20"/>
        <v>0</v>
      </c>
      <c r="H140" s="91">
        <f t="shared" si="20"/>
        <v>0</v>
      </c>
      <c r="I140" s="91">
        <f t="shared" si="20"/>
        <v>0</v>
      </c>
      <c r="J140" s="91">
        <f t="shared" si="20"/>
        <v>0</v>
      </c>
      <c r="K140" s="91">
        <f t="shared" si="20"/>
        <v>0</v>
      </c>
      <c r="L140" s="91">
        <f t="shared" si="20"/>
        <v>0</v>
      </c>
      <c r="M140" s="91">
        <f t="shared" si="20"/>
        <v>0</v>
      </c>
      <c r="N140" s="91">
        <f t="shared" si="20"/>
        <v>0</v>
      </c>
      <c r="O140" s="91">
        <f t="shared" si="20"/>
        <v>0</v>
      </c>
      <c r="P140" s="91">
        <f t="shared" si="20"/>
        <v>0</v>
      </c>
      <c r="Q140" s="92">
        <f t="shared" ref="Q140" si="21">SUM(Q132:Q139)</f>
        <v>0</v>
      </c>
    </row>
    <row r="141" spans="1:20" ht="26.25" customHeight="1">
      <c r="E141" s="67"/>
      <c r="F141" s="99"/>
      <c r="G141" s="67"/>
      <c r="H141" s="100"/>
      <c r="I141" s="67"/>
      <c r="J141" s="99"/>
      <c r="K141" s="67"/>
      <c r="L141" s="102"/>
      <c r="M141" s="67"/>
      <c r="N141" s="99"/>
      <c r="O141" s="103"/>
      <c r="P141" s="103"/>
      <c r="Q141" s="103"/>
    </row>
    <row r="142" spans="1:20" ht="26.25" customHeight="1">
      <c r="A142" s="5" t="s">
        <v>617</v>
      </c>
      <c r="B142" s="3" t="s">
        <v>684</v>
      </c>
      <c r="D142" s="26" t="s">
        <v>781</v>
      </c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6">
        <f>SUM(E142:P142)</f>
        <v>0</v>
      </c>
    </row>
    <row r="143" spans="1:20" ht="26.25" customHeight="1">
      <c r="A143" s="5" t="s">
        <v>618</v>
      </c>
      <c r="B143" s="3" t="s">
        <v>684</v>
      </c>
      <c r="D143" s="26" t="s">
        <v>782</v>
      </c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6">
        <f t="shared" ref="Q143:Q148" si="22">SUM(E143:P143)</f>
        <v>0</v>
      </c>
    </row>
    <row r="144" spans="1:20" ht="26.25" customHeight="1">
      <c r="A144" s="5" t="s">
        <v>619</v>
      </c>
      <c r="B144" s="3" t="s">
        <v>684</v>
      </c>
      <c r="D144" s="26" t="s">
        <v>783</v>
      </c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6">
        <f t="shared" si="22"/>
        <v>0</v>
      </c>
    </row>
    <row r="145" spans="1:17" ht="26.25" customHeight="1">
      <c r="A145" s="5" t="s">
        <v>620</v>
      </c>
      <c r="B145" s="3" t="s">
        <v>684</v>
      </c>
      <c r="D145" s="26" t="s">
        <v>784</v>
      </c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6">
        <f t="shared" si="22"/>
        <v>0</v>
      </c>
    </row>
    <row r="146" spans="1:17" ht="26.25" customHeight="1">
      <c r="A146" s="5" t="s">
        <v>621</v>
      </c>
      <c r="B146" s="3" t="s">
        <v>684</v>
      </c>
      <c r="D146" s="26" t="s">
        <v>785</v>
      </c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6">
        <f t="shared" si="22"/>
        <v>0</v>
      </c>
    </row>
    <row r="147" spans="1:17" ht="26.25" customHeight="1">
      <c r="A147" s="5" t="s">
        <v>346</v>
      </c>
      <c r="B147" s="3" t="s">
        <v>684</v>
      </c>
      <c r="D147" s="26" t="s">
        <v>786</v>
      </c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6">
        <f t="shared" si="22"/>
        <v>0</v>
      </c>
    </row>
    <row r="148" spans="1:17" ht="26.25" customHeight="1">
      <c r="A148" s="5" t="s">
        <v>624</v>
      </c>
      <c r="B148" s="3" t="s">
        <v>684</v>
      </c>
      <c r="D148" s="26" t="s">
        <v>787</v>
      </c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>
        <f t="shared" si="22"/>
        <v>0</v>
      </c>
    </row>
    <row r="149" spans="1:17" ht="26.25" customHeight="1">
      <c r="D149" s="26" t="s">
        <v>788</v>
      </c>
      <c r="E149" s="112">
        <f>SUM(E142:E148)</f>
        <v>0</v>
      </c>
      <c r="F149" s="112">
        <f t="shared" ref="F149:Q149" si="23">SUM(F142:F148)</f>
        <v>0</v>
      </c>
      <c r="G149" s="112">
        <f t="shared" si="23"/>
        <v>0</v>
      </c>
      <c r="H149" s="112">
        <f t="shared" si="23"/>
        <v>0</v>
      </c>
      <c r="I149" s="112">
        <f t="shared" si="23"/>
        <v>0</v>
      </c>
      <c r="J149" s="112">
        <f t="shared" si="23"/>
        <v>0</v>
      </c>
      <c r="K149" s="112">
        <f t="shared" si="23"/>
        <v>0</v>
      </c>
      <c r="L149" s="112">
        <f t="shared" si="23"/>
        <v>0</v>
      </c>
      <c r="M149" s="112">
        <f t="shared" si="23"/>
        <v>0</v>
      </c>
      <c r="N149" s="112">
        <f t="shared" si="23"/>
        <v>0</v>
      </c>
      <c r="O149" s="112">
        <f t="shared" si="23"/>
        <v>0</v>
      </c>
      <c r="P149" s="112">
        <f t="shared" si="23"/>
        <v>0</v>
      </c>
      <c r="Q149" s="112">
        <f t="shared" si="23"/>
        <v>0</v>
      </c>
    </row>
    <row r="150" spans="1:17" ht="26.25" customHeight="1">
      <c r="D150" s="21" t="s">
        <v>789</v>
      </c>
      <c r="E150" s="105">
        <f>E121+E130+E140+E149</f>
        <v>0</v>
      </c>
      <c r="F150" s="105">
        <f t="shared" ref="F150:Q150" si="24">F121+F130+F140+F149</f>
        <v>0</v>
      </c>
      <c r="G150" s="105">
        <f t="shared" si="24"/>
        <v>0</v>
      </c>
      <c r="H150" s="105">
        <f t="shared" si="24"/>
        <v>0</v>
      </c>
      <c r="I150" s="105">
        <f t="shared" si="24"/>
        <v>0</v>
      </c>
      <c r="J150" s="105">
        <f t="shared" si="24"/>
        <v>0</v>
      </c>
      <c r="K150" s="105">
        <f t="shared" si="24"/>
        <v>0</v>
      </c>
      <c r="L150" s="105">
        <f t="shared" si="24"/>
        <v>0</v>
      </c>
      <c r="M150" s="105">
        <f t="shared" si="24"/>
        <v>0</v>
      </c>
      <c r="N150" s="105">
        <f t="shared" si="24"/>
        <v>0</v>
      </c>
      <c r="O150" s="105">
        <f t="shared" si="24"/>
        <v>0</v>
      </c>
      <c r="P150" s="105">
        <f t="shared" si="24"/>
        <v>0</v>
      </c>
      <c r="Q150" s="105">
        <f t="shared" si="24"/>
        <v>0</v>
      </c>
    </row>
    <row r="151" spans="1:17" ht="26.25" customHeight="1">
      <c r="D151" s="21"/>
      <c r="E151" s="98" t="e">
        <f>E114/E21</f>
        <v>#DIV/0!</v>
      </c>
      <c r="F151" s="98" t="e">
        <f t="shared" ref="F151:Q151" si="25">F114/F21</f>
        <v>#DIV/0!</v>
      </c>
      <c r="G151" s="98" t="e">
        <f t="shared" si="25"/>
        <v>#DIV/0!</v>
      </c>
      <c r="H151" s="98" t="e">
        <f t="shared" si="25"/>
        <v>#DIV/0!</v>
      </c>
      <c r="I151" s="98" t="e">
        <f t="shared" si="25"/>
        <v>#DIV/0!</v>
      </c>
      <c r="J151" s="98" t="e">
        <f t="shared" si="25"/>
        <v>#DIV/0!</v>
      </c>
      <c r="K151" s="98" t="e">
        <f t="shared" si="25"/>
        <v>#DIV/0!</v>
      </c>
      <c r="L151" s="98" t="e">
        <f t="shared" si="25"/>
        <v>#DIV/0!</v>
      </c>
      <c r="M151" s="98" t="e">
        <f t="shared" si="25"/>
        <v>#DIV/0!</v>
      </c>
      <c r="N151" s="98" t="e">
        <f t="shared" si="25"/>
        <v>#DIV/0!</v>
      </c>
      <c r="O151" s="98" t="e">
        <f t="shared" si="25"/>
        <v>#DIV/0!</v>
      </c>
      <c r="P151" s="98" t="e">
        <f t="shared" si="25"/>
        <v>#DIV/0!</v>
      </c>
      <c r="Q151" s="98" t="e">
        <f t="shared" si="25"/>
        <v>#DIV/0!</v>
      </c>
    </row>
    <row r="152" spans="1:17" ht="26.25" customHeight="1">
      <c r="A152" s="5" t="s">
        <v>108</v>
      </c>
      <c r="B152" s="3" t="s">
        <v>684</v>
      </c>
      <c r="D152" s="21" t="s">
        <v>790</v>
      </c>
      <c r="E152" s="92">
        <v>0</v>
      </c>
      <c r="F152" s="92">
        <v>0</v>
      </c>
      <c r="G152" s="92">
        <v>0</v>
      </c>
      <c r="H152" s="92">
        <v>0</v>
      </c>
      <c r="I152" s="92">
        <v>0</v>
      </c>
      <c r="J152" s="92">
        <v>0</v>
      </c>
      <c r="K152" s="92">
        <v>0</v>
      </c>
      <c r="L152" s="92">
        <v>0</v>
      </c>
      <c r="M152" s="92">
        <v>0</v>
      </c>
      <c r="N152" s="92">
        <v>0</v>
      </c>
      <c r="O152" s="92">
        <v>0</v>
      </c>
      <c r="P152" s="92">
        <v>0</v>
      </c>
      <c r="Q152" s="92"/>
    </row>
  </sheetData>
  <phoneticPr fontId="56" type="noConversion"/>
  <dataValidations count="6">
    <dataValidation type="textLength" errorStyle="information" allowBlank="1" showInputMessage="1" showErrorMessage="1" error="XLBVal:6=3239.86_x000d__x000a_" sqref="E43:P44 E40:P41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28280_x000d__x000a_" sqref="Q23">
      <formula1>0</formula1>
      <formula2>300</formula2>
    </dataValidation>
    <dataValidation type="textLength" errorStyle="information" allowBlank="1" showInputMessage="1" showErrorMessage="1" error="XLBVal:2=0_x000d__x000a_" sqref="E42:P42 E115:Q115 E152:Q152 Q24:Q113 E119:Q120 E142:Q148 E23:P39 E45:P113 E132:Q140 E12:Q20 E123:Q127 Q128:Q129">
      <formula1>0</formula1>
      <formula2>300</formula2>
    </dataValidation>
    <dataValidation type="textLength" errorStyle="information" allowBlank="1" showInputMessage="1" showErrorMessage="1" error="XLBVal:6=6688509.16_x000d__x000a_" sqref="E21:Q22">
      <formula1>0</formula1>
      <formula2>300</formula2>
    </dataValidation>
    <dataValidation type="textLength" errorStyle="information" allowBlank="1" showInputMessage="1" showErrorMessage="1" error="XLBVal:6=800_x000d__x000a_" sqref="E128:P12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T130"/>
  <sheetViews>
    <sheetView topLeftCell="D1" zoomScale="50" zoomScaleNormal="50" zoomScaleSheetLayoutView="40" workbookViewId="0">
      <pane ySplit="9" topLeftCell="A10" activePane="bottomLeft" state="frozen"/>
      <selection activeCell="D9" sqref="D9"/>
      <selection pane="bottomLeft" activeCell="D9" sqref="D9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70.453125" style="6" customWidth="1" collapsed="1"/>
    <col min="5" max="5" width="26.08984375" style="7" customWidth="1"/>
    <col min="6" max="6" width="26.08984375" style="82" customWidth="1"/>
    <col min="7" max="7" width="26.08984375" style="7" customWidth="1"/>
    <col min="8" max="8" width="26.08984375" style="6" customWidth="1"/>
    <col min="9" max="9" width="26.08984375" style="7" customWidth="1"/>
    <col min="10" max="10" width="26.08984375" style="82" customWidth="1"/>
    <col min="11" max="11" width="26.08984375" style="7" customWidth="1"/>
    <col min="12" max="12" width="26.08984375" style="83" customWidth="1"/>
    <col min="13" max="13" width="26.08984375" style="7" customWidth="1"/>
    <col min="14" max="14" width="26.08984375" style="82" customWidth="1"/>
    <col min="15" max="17" width="26.08984375" style="5" customWidth="1"/>
    <col min="18" max="18" width="12" style="5" customWidth="1"/>
    <col min="19" max="19" width="22.453125" style="8" customWidth="1"/>
    <col min="20" max="20" width="22.453125" style="5" customWidth="1"/>
    <col min="21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5.4" customHeight="1">
      <c r="D6" s="14" t="s">
        <v>1146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S9" s="109"/>
      <c r="T9" s="110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51">
        <v>36700200</v>
      </c>
      <c r="B12" s="3" t="s">
        <v>696</v>
      </c>
      <c r="C12" s="49">
        <v>3106</v>
      </c>
      <c r="D12" s="3" t="s">
        <v>836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>
        <f>SUM(E12:P12)</f>
        <v>0</v>
      </c>
      <c r="S12" s="35"/>
      <c r="T12" s="40">
        <f>IF(Q12-S12=0,0,(Q12-S12)/S12)</f>
        <v>0</v>
      </c>
    </row>
    <row r="13" spans="1:20" s="3" customFormat="1" ht="25.4" customHeight="1">
      <c r="A13" s="51" t="s">
        <v>747</v>
      </c>
      <c r="B13" s="3" t="s">
        <v>696</v>
      </c>
      <c r="D13" s="26" t="s">
        <v>748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f>SUM(E13:P13)</f>
        <v>0</v>
      </c>
      <c r="S13" s="35"/>
      <c r="T13" s="40">
        <f t="shared" ref="T13:T47" si="0">IF(Q13-S13=0,0,(Q13-S13)/S13)</f>
        <v>0</v>
      </c>
    </row>
    <row r="14" spans="1:20" s="3" customFormat="1" ht="25.4" customHeight="1">
      <c r="D14" s="21" t="s">
        <v>655</v>
      </c>
      <c r="E14" s="30">
        <f t="shared" ref="E14:Q14" si="1">SUM(E12:E13)</f>
        <v>0</v>
      </c>
      <c r="F14" s="30">
        <f t="shared" si="1"/>
        <v>0</v>
      </c>
      <c r="G14" s="30">
        <f t="shared" si="1"/>
        <v>0</v>
      </c>
      <c r="H14" s="30">
        <f t="shared" si="1"/>
        <v>0</v>
      </c>
      <c r="I14" s="30">
        <f t="shared" si="1"/>
        <v>0</v>
      </c>
      <c r="J14" s="30">
        <f t="shared" si="1"/>
        <v>0</v>
      </c>
      <c r="K14" s="30">
        <f t="shared" si="1"/>
        <v>0</v>
      </c>
      <c r="L14" s="30">
        <f t="shared" si="1"/>
        <v>0</v>
      </c>
      <c r="M14" s="30">
        <f t="shared" si="1"/>
        <v>0</v>
      </c>
      <c r="N14" s="30">
        <f t="shared" si="1"/>
        <v>0</v>
      </c>
      <c r="O14" s="30">
        <f t="shared" si="1"/>
        <v>0</v>
      </c>
      <c r="P14" s="30">
        <f t="shared" si="1"/>
        <v>0</v>
      </c>
      <c r="Q14" s="30">
        <f t="shared" si="1"/>
        <v>0</v>
      </c>
      <c r="S14" s="35"/>
      <c r="T14" s="40">
        <f t="shared" si="0"/>
        <v>0</v>
      </c>
    </row>
    <row r="15" spans="1:20" s="3" customFormat="1" ht="25.4" customHeight="1">
      <c r="D15" s="21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S15" s="35"/>
      <c r="T15" s="40"/>
    </row>
    <row r="16" spans="1:20" s="3" customFormat="1" ht="25.4" customHeight="1">
      <c r="D16" s="21" t="s">
        <v>411</v>
      </c>
      <c r="E16" s="27"/>
      <c r="F16" s="89"/>
      <c r="G16" s="27"/>
      <c r="H16" s="89"/>
      <c r="I16" s="27"/>
      <c r="J16" s="89"/>
      <c r="K16" s="27"/>
      <c r="L16" s="89"/>
      <c r="M16" s="27"/>
      <c r="N16" s="89"/>
      <c r="O16" s="96"/>
      <c r="P16" s="96"/>
      <c r="Q16" s="96"/>
      <c r="S16" s="35"/>
      <c r="T16" s="40"/>
    </row>
    <row r="17" spans="1:20" s="3" customFormat="1" ht="25.4" customHeight="1">
      <c r="A17" s="3" t="s">
        <v>749</v>
      </c>
      <c r="B17" s="3" t="s">
        <v>696</v>
      </c>
      <c r="C17" s="49">
        <v>3106</v>
      </c>
      <c r="D17" s="26" t="s">
        <v>836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6">
        <f>SUM(E17:P17)</f>
        <v>0</v>
      </c>
      <c r="S17" s="35"/>
      <c r="T17" s="40">
        <f>-IF(Q17-S17=0,0,(Q17-S17)/S17)</f>
        <v>0</v>
      </c>
    </row>
    <row r="18" spans="1:20" s="19" customFormat="1" ht="25.4" customHeight="1">
      <c r="A18" s="3" t="s">
        <v>754</v>
      </c>
      <c r="B18" s="3" t="s">
        <v>696</v>
      </c>
      <c r="C18" s="3"/>
      <c r="D18" s="21" t="s">
        <v>755</v>
      </c>
      <c r="E18" s="91">
        <f t="shared" ref="E18:P18" si="2">SUM(E17:E17)</f>
        <v>0</v>
      </c>
      <c r="F18" s="91">
        <f t="shared" si="2"/>
        <v>0</v>
      </c>
      <c r="G18" s="91">
        <f t="shared" si="2"/>
        <v>0</v>
      </c>
      <c r="H18" s="91">
        <f t="shared" si="2"/>
        <v>0</v>
      </c>
      <c r="I18" s="91">
        <f t="shared" si="2"/>
        <v>0</v>
      </c>
      <c r="J18" s="91">
        <f t="shared" si="2"/>
        <v>0</v>
      </c>
      <c r="K18" s="91">
        <f t="shared" si="2"/>
        <v>0</v>
      </c>
      <c r="L18" s="91">
        <f t="shared" si="2"/>
        <v>0</v>
      </c>
      <c r="M18" s="91">
        <f t="shared" si="2"/>
        <v>0</v>
      </c>
      <c r="N18" s="91">
        <f t="shared" si="2"/>
        <v>0</v>
      </c>
      <c r="O18" s="91">
        <f t="shared" si="2"/>
        <v>0</v>
      </c>
      <c r="P18" s="91">
        <f t="shared" si="2"/>
        <v>0</v>
      </c>
      <c r="Q18" s="111">
        <f>SUM(E18:P18)</f>
        <v>0</v>
      </c>
      <c r="R18" s="39" t="e">
        <f>Q18/$Q$14</f>
        <v>#DIV/0!</v>
      </c>
      <c r="S18" s="35"/>
      <c r="T18" s="40">
        <f>-IF(Q18-S18=0,0,(Q18-S18)/S18)</f>
        <v>0</v>
      </c>
    </row>
    <row r="19" spans="1:20" s="19" customFormat="1" ht="25.4" customHeight="1">
      <c r="A19" s="3"/>
      <c r="B19" s="3"/>
      <c r="C19" s="3"/>
      <c r="D19" s="21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6"/>
      <c r="R19" s="3"/>
      <c r="S19" s="35"/>
      <c r="T19" s="40"/>
    </row>
    <row r="20" spans="1:20" s="19" customFormat="1" ht="25.4" customHeight="1">
      <c r="A20" s="19" t="s">
        <v>466</v>
      </c>
      <c r="B20" s="3" t="s">
        <v>696</v>
      </c>
      <c r="D20" s="19" t="s">
        <v>756</v>
      </c>
      <c r="E20" s="92">
        <f>E128</f>
        <v>0</v>
      </c>
      <c r="F20" s="92">
        <f t="shared" ref="F20:P20" si="3">F128</f>
        <v>0</v>
      </c>
      <c r="G20" s="92">
        <f t="shared" si="3"/>
        <v>0</v>
      </c>
      <c r="H20" s="92">
        <f t="shared" si="3"/>
        <v>0</v>
      </c>
      <c r="I20" s="92">
        <f t="shared" si="3"/>
        <v>0</v>
      </c>
      <c r="J20" s="92">
        <f t="shared" si="3"/>
        <v>0</v>
      </c>
      <c r="K20" s="92">
        <f t="shared" si="3"/>
        <v>0</v>
      </c>
      <c r="L20" s="92">
        <f t="shared" si="3"/>
        <v>0</v>
      </c>
      <c r="M20" s="92">
        <f t="shared" si="3"/>
        <v>0</v>
      </c>
      <c r="N20" s="92">
        <f t="shared" si="3"/>
        <v>0</v>
      </c>
      <c r="O20" s="92">
        <f t="shared" si="3"/>
        <v>0</v>
      </c>
      <c r="P20" s="92">
        <f t="shared" si="3"/>
        <v>0</v>
      </c>
      <c r="Q20" s="97">
        <f>SUM(E20:P20)</f>
        <v>0</v>
      </c>
      <c r="R20" s="39" t="e">
        <f>Q20/$Q$14</f>
        <v>#DIV/0!</v>
      </c>
      <c r="S20" s="35"/>
      <c r="T20" s="40">
        <f>-IF(Q20-S20=0,0,(Q20-S20)/S20)</f>
        <v>0</v>
      </c>
    </row>
    <row r="21" spans="1:20" s="19" customFormat="1" ht="25.4" customHeight="1">
      <c r="D21" s="26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6"/>
      <c r="R21" s="3"/>
      <c r="S21" s="35"/>
      <c r="T21" s="40"/>
    </row>
    <row r="22" spans="1:20" s="19" customFormat="1" ht="25.4" customHeight="1">
      <c r="D22" s="21" t="s">
        <v>757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6"/>
      <c r="R22" s="3"/>
      <c r="S22" s="35"/>
      <c r="T22" s="40"/>
    </row>
    <row r="23" spans="1:20" s="19" customFormat="1" ht="25.4" hidden="1" customHeight="1">
      <c r="A23" s="19" t="s">
        <v>468</v>
      </c>
      <c r="B23" s="3" t="s">
        <v>696</v>
      </c>
      <c r="D23" s="26" t="s">
        <v>143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6">
        <f>SUM(E23:P23)</f>
        <v>0</v>
      </c>
      <c r="R23" s="3"/>
      <c r="S23" s="35"/>
      <c r="T23" s="40">
        <f t="shared" si="0"/>
        <v>0</v>
      </c>
    </row>
    <row r="24" spans="1:20" s="19" customFormat="1" ht="25.4" hidden="1" customHeight="1">
      <c r="A24" s="19" t="s">
        <v>470</v>
      </c>
      <c r="B24" s="3" t="s">
        <v>696</v>
      </c>
      <c r="D24" s="26" t="s">
        <v>145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6">
        <f t="shared" ref="Q24:Q87" si="4">SUM(E24:P24)</f>
        <v>0</v>
      </c>
      <c r="R24" s="3"/>
      <c r="S24" s="35"/>
      <c r="T24" s="40">
        <f t="shared" si="0"/>
        <v>0</v>
      </c>
    </row>
    <row r="25" spans="1:20" s="19" customFormat="1" ht="25.4" hidden="1" customHeight="1">
      <c r="A25" s="19" t="s">
        <v>472</v>
      </c>
      <c r="B25" s="3" t="s">
        <v>696</v>
      </c>
      <c r="D25" s="26" t="s">
        <v>147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6">
        <f t="shared" si="4"/>
        <v>0</v>
      </c>
      <c r="R25" s="3"/>
      <c r="S25" s="35"/>
      <c r="T25" s="40">
        <f t="shared" si="0"/>
        <v>0</v>
      </c>
    </row>
    <row r="26" spans="1:20" s="19" customFormat="1" ht="25.4" hidden="1" customHeight="1">
      <c r="A26" s="19" t="s">
        <v>474</v>
      </c>
      <c r="B26" s="3" t="s">
        <v>696</v>
      </c>
      <c r="D26" s="26" t="s">
        <v>149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6">
        <f t="shared" si="4"/>
        <v>0</v>
      </c>
      <c r="R26" s="3"/>
      <c r="S26" s="35"/>
      <c r="T26" s="40">
        <f t="shared" si="0"/>
        <v>0</v>
      </c>
    </row>
    <row r="27" spans="1:20" s="19" customFormat="1" ht="25.4" hidden="1" customHeight="1">
      <c r="A27" s="19" t="s">
        <v>476</v>
      </c>
      <c r="B27" s="3" t="s">
        <v>696</v>
      </c>
      <c r="D27" s="26" t="s">
        <v>151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6">
        <f t="shared" si="4"/>
        <v>0</v>
      </c>
      <c r="R27" s="3"/>
      <c r="S27" s="35"/>
      <c r="T27" s="40">
        <f t="shared" si="0"/>
        <v>0</v>
      </c>
    </row>
    <row r="28" spans="1:20" s="19" customFormat="1" ht="25.4" hidden="1" customHeight="1">
      <c r="A28" s="19" t="s">
        <v>478</v>
      </c>
      <c r="B28" s="3" t="s">
        <v>696</v>
      </c>
      <c r="D28" s="26" t="s">
        <v>153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6">
        <f t="shared" si="4"/>
        <v>0</v>
      </c>
      <c r="R28" s="3"/>
      <c r="S28" s="35"/>
      <c r="T28" s="40">
        <f t="shared" si="0"/>
        <v>0</v>
      </c>
    </row>
    <row r="29" spans="1:20" s="19" customFormat="1" ht="25.4" hidden="1" customHeight="1">
      <c r="A29" s="19" t="s">
        <v>480</v>
      </c>
      <c r="B29" s="3" t="s">
        <v>696</v>
      </c>
      <c r="D29" s="26" t="s">
        <v>155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6">
        <f t="shared" si="4"/>
        <v>0</v>
      </c>
      <c r="R29" s="3"/>
      <c r="S29" s="35"/>
      <c r="T29" s="40">
        <f t="shared" si="0"/>
        <v>0</v>
      </c>
    </row>
    <row r="30" spans="1:20" s="19" customFormat="1" ht="25.4" hidden="1" customHeight="1">
      <c r="A30" s="19" t="s">
        <v>482</v>
      </c>
      <c r="B30" s="3" t="s">
        <v>696</v>
      </c>
      <c r="D30" s="26" t="s">
        <v>157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6">
        <f t="shared" si="4"/>
        <v>0</v>
      </c>
      <c r="R30" s="3"/>
      <c r="S30" s="35"/>
      <c r="T30" s="40">
        <f t="shared" si="0"/>
        <v>0</v>
      </c>
    </row>
    <row r="31" spans="1:20" s="19" customFormat="1" ht="25.4" hidden="1" customHeight="1">
      <c r="A31" s="19" t="s">
        <v>484</v>
      </c>
      <c r="B31" s="3" t="s">
        <v>696</v>
      </c>
      <c r="D31" s="26" t="s">
        <v>159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6">
        <f t="shared" si="4"/>
        <v>0</v>
      </c>
      <c r="R31" s="3"/>
      <c r="S31" s="35"/>
      <c r="T31" s="40">
        <f t="shared" si="0"/>
        <v>0</v>
      </c>
    </row>
    <row r="32" spans="1:20" s="19" customFormat="1" ht="25.4" hidden="1" customHeight="1">
      <c r="A32" s="19" t="s">
        <v>486</v>
      </c>
      <c r="B32" s="3" t="s">
        <v>696</v>
      </c>
      <c r="D32" s="26" t="s">
        <v>161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6">
        <f t="shared" si="4"/>
        <v>0</v>
      </c>
      <c r="R32" s="3"/>
      <c r="S32" s="35"/>
      <c r="T32" s="40">
        <f t="shared" si="0"/>
        <v>0</v>
      </c>
    </row>
    <row r="33" spans="1:20" s="19" customFormat="1" ht="25.4" hidden="1" customHeight="1">
      <c r="A33" s="19" t="s">
        <v>488</v>
      </c>
      <c r="B33" s="3" t="s">
        <v>696</v>
      </c>
      <c r="D33" s="26" t="s">
        <v>163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6">
        <f t="shared" si="4"/>
        <v>0</v>
      </c>
      <c r="R33" s="3"/>
      <c r="S33" s="35"/>
      <c r="T33" s="40">
        <f t="shared" si="0"/>
        <v>0</v>
      </c>
    </row>
    <row r="34" spans="1:20" s="19" customFormat="1" ht="25.4" hidden="1" customHeight="1">
      <c r="A34" s="19" t="s">
        <v>490</v>
      </c>
      <c r="B34" s="3" t="s">
        <v>696</v>
      </c>
      <c r="D34" s="26" t="s">
        <v>165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6">
        <f t="shared" si="4"/>
        <v>0</v>
      </c>
      <c r="R34" s="3"/>
      <c r="S34" s="35"/>
      <c r="T34" s="40">
        <f t="shared" si="0"/>
        <v>0</v>
      </c>
    </row>
    <row r="35" spans="1:20" s="19" customFormat="1" ht="25.4" hidden="1" customHeight="1">
      <c r="A35" s="19" t="s">
        <v>492</v>
      </c>
      <c r="B35" s="3" t="s">
        <v>696</v>
      </c>
      <c r="D35" s="26" t="s">
        <v>167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90">
        <v>0</v>
      </c>
      <c r="O35" s="90">
        <v>0</v>
      </c>
      <c r="P35" s="90">
        <v>0</v>
      </c>
      <c r="Q35" s="96">
        <f t="shared" si="4"/>
        <v>0</v>
      </c>
      <c r="R35" s="3"/>
      <c r="S35" s="35"/>
      <c r="T35" s="40">
        <f t="shared" si="0"/>
        <v>0</v>
      </c>
    </row>
    <row r="36" spans="1:20" s="19" customFormat="1" ht="25.4" hidden="1" customHeight="1">
      <c r="A36" s="19" t="s">
        <v>494</v>
      </c>
      <c r="B36" s="3" t="s">
        <v>696</v>
      </c>
      <c r="D36" s="26" t="s">
        <v>169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6">
        <f t="shared" si="4"/>
        <v>0</v>
      </c>
      <c r="R36" s="3"/>
      <c r="S36" s="35"/>
      <c r="T36" s="40">
        <f t="shared" si="0"/>
        <v>0</v>
      </c>
    </row>
    <row r="37" spans="1:20" s="3" customFormat="1" ht="25.4" hidden="1" customHeight="1">
      <c r="A37" s="3" t="s">
        <v>496</v>
      </c>
      <c r="B37" s="3" t="s">
        <v>696</v>
      </c>
      <c r="D37" s="26" t="s">
        <v>171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90">
        <v>0</v>
      </c>
      <c r="O37" s="90">
        <v>0</v>
      </c>
      <c r="P37" s="90">
        <v>0</v>
      </c>
      <c r="Q37" s="96">
        <f t="shared" si="4"/>
        <v>0</v>
      </c>
      <c r="S37" s="35"/>
      <c r="T37" s="40">
        <f t="shared" si="0"/>
        <v>0</v>
      </c>
    </row>
    <row r="38" spans="1:20" s="3" customFormat="1" ht="25.4" hidden="1" customHeight="1">
      <c r="A38" s="3" t="s">
        <v>497</v>
      </c>
      <c r="B38" s="3" t="s">
        <v>696</v>
      </c>
      <c r="D38" s="26" t="s">
        <v>173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6">
        <f t="shared" si="4"/>
        <v>0</v>
      </c>
      <c r="S38" s="35"/>
      <c r="T38" s="40">
        <f t="shared" si="0"/>
        <v>0</v>
      </c>
    </row>
    <row r="39" spans="1:20" s="3" customFormat="1" ht="25.4" hidden="1" customHeight="1">
      <c r="A39" s="254" t="s">
        <v>498</v>
      </c>
      <c r="B39" s="3" t="s">
        <v>696</v>
      </c>
      <c r="D39" s="26" t="s">
        <v>175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6">
        <f t="shared" si="4"/>
        <v>0</v>
      </c>
      <c r="S39" s="35"/>
      <c r="T39" s="40">
        <f t="shared" si="0"/>
        <v>0</v>
      </c>
    </row>
    <row r="40" spans="1:20" s="3" customFormat="1" ht="25.4" hidden="1" customHeight="1">
      <c r="A40" s="254" t="s">
        <v>500</v>
      </c>
      <c r="B40" s="3" t="s">
        <v>696</v>
      </c>
      <c r="D40" s="26" t="s">
        <v>177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6">
        <f t="shared" si="4"/>
        <v>0</v>
      </c>
      <c r="S40" s="35"/>
      <c r="T40" s="40">
        <f t="shared" si="0"/>
        <v>0</v>
      </c>
    </row>
    <row r="41" spans="1:20" s="3" customFormat="1" ht="25.4" hidden="1" customHeight="1">
      <c r="A41" s="3" t="s">
        <v>502</v>
      </c>
      <c r="B41" s="3" t="s">
        <v>696</v>
      </c>
      <c r="D41" s="26" t="s">
        <v>179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0</v>
      </c>
      <c r="P41" s="90">
        <v>0</v>
      </c>
      <c r="Q41" s="96">
        <f t="shared" si="4"/>
        <v>0</v>
      </c>
      <c r="S41" s="35"/>
      <c r="T41" s="40">
        <f t="shared" si="0"/>
        <v>0</v>
      </c>
    </row>
    <row r="42" spans="1:20" s="3" customFormat="1" ht="25.4" hidden="1" customHeight="1">
      <c r="A42" s="3" t="s">
        <v>504</v>
      </c>
      <c r="B42" s="3" t="s">
        <v>696</v>
      </c>
      <c r="D42" s="26" t="s">
        <v>181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6">
        <f t="shared" si="4"/>
        <v>0</v>
      </c>
      <c r="S42" s="35"/>
      <c r="T42" s="40">
        <f t="shared" si="0"/>
        <v>0</v>
      </c>
    </row>
    <row r="43" spans="1:20" s="3" customFormat="1" ht="25.4" hidden="1" customHeight="1">
      <c r="A43" s="254" t="s">
        <v>506</v>
      </c>
      <c r="B43" s="3" t="s">
        <v>696</v>
      </c>
      <c r="D43" s="26" t="s">
        <v>183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90">
        <v>0</v>
      </c>
      <c r="O43" s="90">
        <v>0</v>
      </c>
      <c r="P43" s="90">
        <v>0</v>
      </c>
      <c r="Q43" s="96">
        <f t="shared" si="4"/>
        <v>0</v>
      </c>
      <c r="S43" s="35"/>
      <c r="T43" s="40">
        <f t="shared" si="0"/>
        <v>0</v>
      </c>
    </row>
    <row r="44" spans="1:20" s="3" customFormat="1" ht="25.4" hidden="1" customHeight="1">
      <c r="A44" s="54" t="s">
        <v>508</v>
      </c>
      <c r="B44" s="3" t="s">
        <v>696</v>
      </c>
      <c r="D44" s="26" t="s">
        <v>185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6">
        <f t="shared" si="4"/>
        <v>0</v>
      </c>
      <c r="S44" s="35"/>
      <c r="T44" s="40">
        <f t="shared" si="0"/>
        <v>0</v>
      </c>
    </row>
    <row r="45" spans="1:20" s="3" customFormat="1" ht="25.4" hidden="1" customHeight="1">
      <c r="A45" s="254" t="s">
        <v>510</v>
      </c>
      <c r="B45" s="3" t="s">
        <v>696</v>
      </c>
      <c r="D45" s="26" t="s">
        <v>187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6">
        <f t="shared" si="4"/>
        <v>0</v>
      </c>
      <c r="S45" s="35"/>
      <c r="T45" s="40">
        <f t="shared" si="0"/>
        <v>0</v>
      </c>
    </row>
    <row r="46" spans="1:20" s="3" customFormat="1" ht="25.4" hidden="1" customHeight="1">
      <c r="A46" s="254" t="s">
        <v>512</v>
      </c>
      <c r="B46" s="3" t="s">
        <v>696</v>
      </c>
      <c r="D46" s="26" t="s">
        <v>189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90">
        <v>0</v>
      </c>
      <c r="O46" s="90">
        <v>0</v>
      </c>
      <c r="P46" s="90">
        <v>0</v>
      </c>
      <c r="Q46" s="96">
        <f t="shared" si="4"/>
        <v>0</v>
      </c>
      <c r="S46" s="35"/>
      <c r="T46" s="40">
        <f t="shared" si="0"/>
        <v>0</v>
      </c>
    </row>
    <row r="47" spans="1:20" s="3" customFormat="1" ht="25.4" hidden="1" customHeight="1">
      <c r="A47" s="254" t="s">
        <v>514</v>
      </c>
      <c r="B47" s="3" t="s">
        <v>696</v>
      </c>
      <c r="D47" s="26" t="s">
        <v>191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96">
        <f t="shared" si="4"/>
        <v>0</v>
      </c>
      <c r="S47" s="35"/>
      <c r="T47" s="40">
        <f t="shared" si="0"/>
        <v>0</v>
      </c>
    </row>
    <row r="48" spans="1:20" s="19" customFormat="1" ht="25.4" customHeight="1">
      <c r="A48" s="254" t="s">
        <v>516</v>
      </c>
      <c r="B48" s="3" t="s">
        <v>696</v>
      </c>
      <c r="D48" s="26" t="s">
        <v>193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6">
        <f t="shared" si="4"/>
        <v>0</v>
      </c>
      <c r="R48" s="3"/>
      <c r="S48" s="35"/>
      <c r="T48" s="40">
        <f>-IF(S48&lt;&gt;0,(Q48-S48)/S48,1)</f>
        <v>-1</v>
      </c>
    </row>
    <row r="49" spans="1:20" s="3" customFormat="1" ht="25.4" hidden="1" customHeight="1">
      <c r="A49" s="50" t="s">
        <v>518</v>
      </c>
      <c r="B49" s="3" t="s">
        <v>696</v>
      </c>
      <c r="D49" s="26" t="s">
        <v>195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6">
        <f t="shared" si="4"/>
        <v>0</v>
      </c>
      <c r="S49" s="35"/>
      <c r="T49" s="40">
        <f t="shared" ref="T49:T91" si="5">-IF(S49&lt;&gt;0,(Q49-S49)/S49,1)</f>
        <v>-1</v>
      </c>
    </row>
    <row r="50" spans="1:20" s="3" customFormat="1" ht="25.4" hidden="1" customHeight="1">
      <c r="A50" s="254" t="s">
        <v>520</v>
      </c>
      <c r="B50" s="3" t="s">
        <v>696</v>
      </c>
      <c r="D50" s="26" t="s">
        <v>197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6">
        <f t="shared" si="4"/>
        <v>0</v>
      </c>
      <c r="S50" s="35"/>
      <c r="T50" s="40">
        <f t="shared" si="5"/>
        <v>-1</v>
      </c>
    </row>
    <row r="51" spans="1:20" s="3" customFormat="1" ht="25.4" hidden="1" customHeight="1">
      <c r="A51" s="254" t="s">
        <v>522</v>
      </c>
      <c r="B51" s="3" t="s">
        <v>696</v>
      </c>
      <c r="D51" s="26" t="s">
        <v>199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6">
        <f t="shared" si="4"/>
        <v>0</v>
      </c>
      <c r="S51" s="35"/>
      <c r="T51" s="40">
        <f t="shared" si="5"/>
        <v>-1</v>
      </c>
    </row>
    <row r="52" spans="1:20" s="3" customFormat="1" ht="25.4" hidden="1" customHeight="1">
      <c r="A52" s="254" t="s">
        <v>524</v>
      </c>
      <c r="B52" s="3" t="s">
        <v>696</v>
      </c>
      <c r="D52" s="26" t="s">
        <v>201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6">
        <f t="shared" si="4"/>
        <v>0</v>
      </c>
      <c r="S52" s="35"/>
      <c r="T52" s="40">
        <f t="shared" si="5"/>
        <v>-1</v>
      </c>
    </row>
    <row r="53" spans="1:20" s="3" customFormat="1" ht="25.4" hidden="1" customHeight="1">
      <c r="A53" s="254" t="s">
        <v>526</v>
      </c>
      <c r="B53" s="3" t="s">
        <v>696</v>
      </c>
      <c r="D53" s="26" t="s">
        <v>203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  <c r="N53" s="90">
        <v>0</v>
      </c>
      <c r="O53" s="90">
        <v>0</v>
      </c>
      <c r="P53" s="90">
        <v>0</v>
      </c>
      <c r="Q53" s="96">
        <f t="shared" si="4"/>
        <v>0</v>
      </c>
      <c r="S53" s="35"/>
      <c r="T53" s="40">
        <f t="shared" si="5"/>
        <v>-1</v>
      </c>
    </row>
    <row r="54" spans="1:20" s="3" customFormat="1" ht="25.4" hidden="1" customHeight="1">
      <c r="A54" s="254" t="s">
        <v>528</v>
      </c>
      <c r="B54" s="3" t="s">
        <v>696</v>
      </c>
      <c r="D54" s="26" t="s">
        <v>205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90">
        <v>0</v>
      </c>
      <c r="P54" s="90">
        <v>0</v>
      </c>
      <c r="Q54" s="96">
        <f t="shared" si="4"/>
        <v>0</v>
      </c>
      <c r="S54" s="35"/>
      <c r="T54" s="40">
        <f t="shared" si="5"/>
        <v>-1</v>
      </c>
    </row>
    <row r="55" spans="1:20" s="3" customFormat="1" ht="25.4" hidden="1" customHeight="1">
      <c r="A55" s="254" t="s">
        <v>530</v>
      </c>
      <c r="B55" s="3" t="s">
        <v>696</v>
      </c>
      <c r="D55" s="26" t="s">
        <v>207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6">
        <f t="shared" si="4"/>
        <v>0</v>
      </c>
      <c r="S55" s="35"/>
      <c r="T55" s="40">
        <f t="shared" si="5"/>
        <v>-1</v>
      </c>
    </row>
    <row r="56" spans="1:20" s="3" customFormat="1" ht="25.4" hidden="1" customHeight="1">
      <c r="A56" s="254" t="s">
        <v>532</v>
      </c>
      <c r="B56" s="3" t="s">
        <v>696</v>
      </c>
      <c r="D56" s="26" t="s">
        <v>209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90">
        <v>0</v>
      </c>
      <c r="O56" s="90">
        <v>0</v>
      </c>
      <c r="P56" s="90">
        <v>0</v>
      </c>
      <c r="Q56" s="96">
        <f t="shared" si="4"/>
        <v>0</v>
      </c>
      <c r="S56" s="35"/>
      <c r="T56" s="40">
        <f t="shared" si="5"/>
        <v>-1</v>
      </c>
    </row>
    <row r="57" spans="1:20" s="3" customFormat="1" ht="25.4" hidden="1" customHeight="1">
      <c r="A57" s="254" t="s">
        <v>534</v>
      </c>
      <c r="B57" s="3" t="s">
        <v>696</v>
      </c>
      <c r="D57" s="26" t="s">
        <v>211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90">
        <v>0</v>
      </c>
      <c r="O57" s="90">
        <v>0</v>
      </c>
      <c r="P57" s="90">
        <v>0</v>
      </c>
      <c r="Q57" s="96">
        <f t="shared" si="4"/>
        <v>0</v>
      </c>
      <c r="S57" s="35"/>
      <c r="T57" s="40">
        <f t="shared" si="5"/>
        <v>-1</v>
      </c>
    </row>
    <row r="58" spans="1:20" s="19" customFormat="1" ht="25.4" hidden="1" customHeight="1">
      <c r="A58" s="254" t="s">
        <v>536</v>
      </c>
      <c r="B58" s="3" t="s">
        <v>696</v>
      </c>
      <c r="D58" s="26" t="s">
        <v>213</v>
      </c>
      <c r="E58" s="90">
        <v>0</v>
      </c>
      <c r="F58" s="90">
        <v>0</v>
      </c>
      <c r="G58" s="90">
        <v>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90">
        <v>0</v>
      </c>
      <c r="P58" s="90">
        <v>0</v>
      </c>
      <c r="Q58" s="96">
        <f t="shared" si="4"/>
        <v>0</v>
      </c>
      <c r="R58" s="3"/>
      <c r="S58" s="35"/>
      <c r="T58" s="40">
        <f t="shared" si="5"/>
        <v>-1</v>
      </c>
    </row>
    <row r="59" spans="1:20" s="19" customFormat="1" ht="25.4" hidden="1" customHeight="1">
      <c r="A59" s="254" t="s">
        <v>538</v>
      </c>
      <c r="B59" s="3" t="s">
        <v>696</v>
      </c>
      <c r="D59" s="26" t="s">
        <v>215</v>
      </c>
      <c r="E59" s="90">
        <v>0</v>
      </c>
      <c r="F59" s="90">
        <v>0</v>
      </c>
      <c r="G59" s="90">
        <v>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90">
        <v>0</v>
      </c>
      <c r="P59" s="90">
        <v>0</v>
      </c>
      <c r="Q59" s="96">
        <f t="shared" si="4"/>
        <v>0</v>
      </c>
      <c r="R59" s="3"/>
      <c r="S59" s="35"/>
      <c r="T59" s="40">
        <f t="shared" si="5"/>
        <v>-1</v>
      </c>
    </row>
    <row r="60" spans="1:20" s="3" customFormat="1" ht="25.4" hidden="1" customHeight="1">
      <c r="A60" s="3" t="s">
        <v>540</v>
      </c>
      <c r="B60" s="3" t="s">
        <v>696</v>
      </c>
      <c r="D60" s="26" t="s">
        <v>217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90">
        <v>0</v>
      </c>
      <c r="P60" s="90">
        <v>0</v>
      </c>
      <c r="Q60" s="96">
        <f t="shared" si="4"/>
        <v>0</v>
      </c>
      <c r="S60" s="35"/>
      <c r="T60" s="40">
        <f t="shared" si="5"/>
        <v>-1</v>
      </c>
    </row>
    <row r="61" spans="1:20" s="3" customFormat="1" ht="25.4" hidden="1" customHeight="1">
      <c r="A61" s="3" t="s">
        <v>542</v>
      </c>
      <c r="B61" s="3" t="s">
        <v>696</v>
      </c>
      <c r="D61" s="26" t="s">
        <v>219</v>
      </c>
      <c r="E61" s="90">
        <v>0</v>
      </c>
      <c r="F61" s="90">
        <v>0</v>
      </c>
      <c r="G61" s="90">
        <v>0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90">
        <v>0</v>
      </c>
      <c r="O61" s="90">
        <v>0</v>
      </c>
      <c r="P61" s="90">
        <v>0</v>
      </c>
      <c r="Q61" s="96">
        <f t="shared" si="4"/>
        <v>0</v>
      </c>
      <c r="S61" s="35"/>
      <c r="T61" s="40">
        <f t="shared" si="5"/>
        <v>-1</v>
      </c>
    </row>
    <row r="62" spans="1:20" s="3" customFormat="1" ht="25.4" hidden="1" customHeight="1">
      <c r="A62" s="3" t="s">
        <v>544</v>
      </c>
      <c r="B62" s="3" t="s">
        <v>696</v>
      </c>
      <c r="D62" s="26" t="s">
        <v>221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6">
        <f t="shared" si="4"/>
        <v>0</v>
      </c>
      <c r="S62" s="35"/>
      <c r="T62" s="40">
        <f t="shared" si="5"/>
        <v>-1</v>
      </c>
    </row>
    <row r="63" spans="1:20" s="3" customFormat="1" ht="25.4" hidden="1" customHeight="1">
      <c r="A63" s="3" t="s">
        <v>546</v>
      </c>
      <c r="B63" s="3" t="s">
        <v>696</v>
      </c>
      <c r="D63" s="26" t="s">
        <v>223</v>
      </c>
      <c r="E63" s="90">
        <v>0</v>
      </c>
      <c r="F63" s="90">
        <v>0</v>
      </c>
      <c r="G63" s="90">
        <v>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90">
        <v>0</v>
      </c>
      <c r="P63" s="90">
        <v>0</v>
      </c>
      <c r="Q63" s="96">
        <f t="shared" si="4"/>
        <v>0</v>
      </c>
      <c r="S63" s="35"/>
      <c r="T63" s="40">
        <f t="shared" si="5"/>
        <v>-1</v>
      </c>
    </row>
    <row r="64" spans="1:20" s="3" customFormat="1" ht="25.4" hidden="1" customHeight="1">
      <c r="A64" s="3" t="s">
        <v>548</v>
      </c>
      <c r="B64" s="3" t="s">
        <v>696</v>
      </c>
      <c r="D64" s="26" t="s">
        <v>225</v>
      </c>
      <c r="E64" s="90">
        <v>0</v>
      </c>
      <c r="F64" s="90">
        <v>0</v>
      </c>
      <c r="G64" s="90">
        <v>0</v>
      </c>
      <c r="H64" s="90">
        <v>0</v>
      </c>
      <c r="I64" s="90">
        <v>0</v>
      </c>
      <c r="J64" s="90">
        <v>0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0</v>
      </c>
      <c r="Q64" s="96">
        <f t="shared" si="4"/>
        <v>0</v>
      </c>
      <c r="S64" s="35"/>
      <c r="T64" s="40">
        <f t="shared" si="5"/>
        <v>-1</v>
      </c>
    </row>
    <row r="65" spans="1:20" s="3" customFormat="1" ht="25.4" hidden="1" customHeight="1">
      <c r="A65" s="3" t="s">
        <v>550</v>
      </c>
      <c r="B65" s="3" t="s">
        <v>696</v>
      </c>
      <c r="D65" s="26" t="s">
        <v>227</v>
      </c>
      <c r="E65" s="90">
        <v>0</v>
      </c>
      <c r="F65" s="90">
        <v>0</v>
      </c>
      <c r="G65" s="90">
        <v>0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90">
        <v>0</v>
      </c>
      <c r="O65" s="90">
        <v>0</v>
      </c>
      <c r="P65" s="90">
        <v>0</v>
      </c>
      <c r="Q65" s="96">
        <f t="shared" si="4"/>
        <v>0</v>
      </c>
      <c r="S65" s="35"/>
      <c r="T65" s="40">
        <f t="shared" si="5"/>
        <v>-1</v>
      </c>
    </row>
    <row r="66" spans="1:20" s="3" customFormat="1" ht="25.4" hidden="1" customHeight="1">
      <c r="A66" s="3" t="s">
        <v>552</v>
      </c>
      <c r="B66" s="3" t="s">
        <v>696</v>
      </c>
      <c r="D66" s="26" t="s">
        <v>229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  <c r="Q66" s="96">
        <f t="shared" si="4"/>
        <v>0</v>
      </c>
      <c r="S66" s="35"/>
      <c r="T66" s="40">
        <f t="shared" si="5"/>
        <v>-1</v>
      </c>
    </row>
    <row r="67" spans="1:20" s="3" customFormat="1" ht="25.4" hidden="1" customHeight="1">
      <c r="A67" s="3" t="s">
        <v>554</v>
      </c>
      <c r="B67" s="3" t="s">
        <v>696</v>
      </c>
      <c r="D67" s="26" t="s">
        <v>231</v>
      </c>
      <c r="E67" s="90">
        <v>0</v>
      </c>
      <c r="F67" s="90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6">
        <f t="shared" si="4"/>
        <v>0</v>
      </c>
      <c r="S67" s="35"/>
      <c r="T67" s="40">
        <f t="shared" si="5"/>
        <v>-1</v>
      </c>
    </row>
    <row r="68" spans="1:20" s="3" customFormat="1" ht="25.4" hidden="1" customHeight="1">
      <c r="A68" s="254" t="s">
        <v>556</v>
      </c>
      <c r="B68" s="3" t="s">
        <v>696</v>
      </c>
      <c r="D68" s="26" t="s">
        <v>233</v>
      </c>
      <c r="E68" s="90">
        <v>0</v>
      </c>
      <c r="F68" s="90">
        <v>0</v>
      </c>
      <c r="G68" s="90">
        <v>0</v>
      </c>
      <c r="H68" s="90">
        <v>0</v>
      </c>
      <c r="I68" s="90">
        <v>0</v>
      </c>
      <c r="J68" s="90">
        <v>0</v>
      </c>
      <c r="K68" s="90">
        <v>0</v>
      </c>
      <c r="L68" s="90">
        <v>0</v>
      </c>
      <c r="M68" s="90">
        <v>0</v>
      </c>
      <c r="N68" s="90">
        <v>0</v>
      </c>
      <c r="O68" s="90">
        <v>0</v>
      </c>
      <c r="P68" s="90">
        <v>0</v>
      </c>
      <c r="Q68" s="96">
        <f t="shared" si="4"/>
        <v>0</v>
      </c>
      <c r="S68" s="35"/>
      <c r="T68" s="40">
        <f t="shared" si="5"/>
        <v>-1</v>
      </c>
    </row>
    <row r="69" spans="1:20" s="3" customFormat="1" ht="25.4" hidden="1" customHeight="1">
      <c r="A69" s="254" t="s">
        <v>558</v>
      </c>
      <c r="B69" s="3" t="s">
        <v>696</v>
      </c>
      <c r="D69" s="26" t="s">
        <v>235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0</v>
      </c>
      <c r="P69" s="90">
        <v>0</v>
      </c>
      <c r="Q69" s="96">
        <f t="shared" si="4"/>
        <v>0</v>
      </c>
      <c r="S69" s="35"/>
      <c r="T69" s="40">
        <f t="shared" si="5"/>
        <v>-1</v>
      </c>
    </row>
    <row r="70" spans="1:20" s="3" customFormat="1" ht="25.4" hidden="1" customHeight="1">
      <c r="A70" s="254" t="s">
        <v>422</v>
      </c>
      <c r="B70" s="3" t="s">
        <v>696</v>
      </c>
      <c r="D70" s="26" t="s">
        <v>423</v>
      </c>
      <c r="E70" s="90">
        <v>0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6">
        <f t="shared" si="4"/>
        <v>0</v>
      </c>
      <c r="S70" s="35"/>
      <c r="T70" s="40">
        <f t="shared" si="5"/>
        <v>-1</v>
      </c>
    </row>
    <row r="71" spans="1:20" ht="26.25" hidden="1" customHeight="1">
      <c r="A71" s="5" t="s">
        <v>560</v>
      </c>
      <c r="B71" s="3" t="s">
        <v>696</v>
      </c>
      <c r="D71" s="26" t="s">
        <v>237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90">
        <v>0</v>
      </c>
      <c r="O71" s="90">
        <v>0</v>
      </c>
      <c r="P71" s="90">
        <v>0</v>
      </c>
      <c r="Q71" s="96">
        <f t="shared" si="4"/>
        <v>0</v>
      </c>
      <c r="S71" s="35"/>
      <c r="T71" s="40">
        <f t="shared" si="5"/>
        <v>-1</v>
      </c>
    </row>
    <row r="72" spans="1:20" ht="26.25" hidden="1" customHeight="1">
      <c r="A72" s="5" t="s">
        <v>562</v>
      </c>
      <c r="B72" s="3" t="s">
        <v>696</v>
      </c>
      <c r="D72" s="26" t="s">
        <v>239</v>
      </c>
      <c r="E72" s="90">
        <v>0</v>
      </c>
      <c r="F72" s="90">
        <v>0</v>
      </c>
      <c r="G72" s="90">
        <v>0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90">
        <v>0</v>
      </c>
      <c r="O72" s="90">
        <v>0</v>
      </c>
      <c r="P72" s="90">
        <v>0</v>
      </c>
      <c r="Q72" s="96">
        <f t="shared" si="4"/>
        <v>0</v>
      </c>
      <c r="S72" s="35"/>
      <c r="T72" s="40">
        <f t="shared" si="5"/>
        <v>-1</v>
      </c>
    </row>
    <row r="73" spans="1:20" ht="26.25" hidden="1" customHeight="1">
      <c r="A73" s="5" t="s">
        <v>564</v>
      </c>
      <c r="B73" s="3" t="s">
        <v>696</v>
      </c>
      <c r="D73" s="26" t="s">
        <v>241</v>
      </c>
      <c r="E73" s="90">
        <v>0</v>
      </c>
      <c r="F73" s="90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6">
        <f t="shared" si="4"/>
        <v>0</v>
      </c>
      <c r="S73" s="35"/>
      <c r="T73" s="40">
        <f t="shared" si="5"/>
        <v>-1</v>
      </c>
    </row>
    <row r="74" spans="1:20" ht="26.25" hidden="1" customHeight="1">
      <c r="A74" s="5" t="s">
        <v>566</v>
      </c>
      <c r="B74" s="3" t="s">
        <v>696</v>
      </c>
      <c r="D74" s="26" t="s">
        <v>243</v>
      </c>
      <c r="E74" s="90">
        <v>0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  <c r="Q74" s="96">
        <f t="shared" si="4"/>
        <v>0</v>
      </c>
      <c r="S74" s="35"/>
      <c r="T74" s="40">
        <f t="shared" si="5"/>
        <v>-1</v>
      </c>
    </row>
    <row r="75" spans="1:20" ht="26.25" hidden="1" customHeight="1">
      <c r="A75" s="5" t="s">
        <v>568</v>
      </c>
      <c r="B75" s="3" t="s">
        <v>696</v>
      </c>
      <c r="D75" s="26" t="s">
        <v>245</v>
      </c>
      <c r="E75" s="90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6">
        <f t="shared" si="4"/>
        <v>0</v>
      </c>
      <c r="S75" s="35"/>
      <c r="T75" s="40">
        <f t="shared" si="5"/>
        <v>-1</v>
      </c>
    </row>
    <row r="76" spans="1:20" ht="26.25" hidden="1" customHeight="1">
      <c r="A76" s="5" t="s">
        <v>570</v>
      </c>
      <c r="B76" s="3" t="s">
        <v>696</v>
      </c>
      <c r="D76" s="26" t="s">
        <v>247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6">
        <f t="shared" si="4"/>
        <v>0</v>
      </c>
      <c r="S76" s="35"/>
      <c r="T76" s="40">
        <f t="shared" si="5"/>
        <v>-1</v>
      </c>
    </row>
    <row r="77" spans="1:20" ht="26.25" hidden="1" customHeight="1">
      <c r="A77" s="5" t="s">
        <v>572</v>
      </c>
      <c r="B77" s="3" t="s">
        <v>696</v>
      </c>
      <c r="D77" s="26" t="s">
        <v>249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6">
        <f t="shared" si="4"/>
        <v>0</v>
      </c>
      <c r="S77" s="35"/>
      <c r="T77" s="40">
        <f t="shared" si="5"/>
        <v>-1</v>
      </c>
    </row>
    <row r="78" spans="1:20" ht="26.25" hidden="1" customHeight="1">
      <c r="A78" s="5" t="s">
        <v>574</v>
      </c>
      <c r="B78" s="3" t="s">
        <v>696</v>
      </c>
      <c r="D78" s="26" t="s">
        <v>251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90">
        <v>0</v>
      </c>
      <c r="O78" s="90">
        <v>0</v>
      </c>
      <c r="P78" s="90">
        <v>0</v>
      </c>
      <c r="Q78" s="96">
        <f t="shared" si="4"/>
        <v>0</v>
      </c>
      <c r="S78" s="35"/>
      <c r="T78" s="40">
        <f t="shared" si="5"/>
        <v>-1</v>
      </c>
    </row>
    <row r="79" spans="1:20" ht="26.25" hidden="1" customHeight="1">
      <c r="A79" s="5" t="s">
        <v>576</v>
      </c>
      <c r="B79" s="3" t="s">
        <v>696</v>
      </c>
      <c r="D79" s="26" t="s">
        <v>253</v>
      </c>
      <c r="E79" s="90">
        <v>0</v>
      </c>
      <c r="F79" s="90">
        <v>0</v>
      </c>
      <c r="G79" s="90">
        <v>0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  <c r="Q79" s="96">
        <f t="shared" si="4"/>
        <v>0</v>
      </c>
      <c r="S79" s="35"/>
      <c r="T79" s="40">
        <f t="shared" si="5"/>
        <v>-1</v>
      </c>
    </row>
    <row r="80" spans="1:20" ht="26.25" hidden="1" customHeight="1">
      <c r="A80" s="5" t="s">
        <v>578</v>
      </c>
      <c r="B80" s="3" t="s">
        <v>696</v>
      </c>
      <c r="D80" s="26" t="s">
        <v>255</v>
      </c>
      <c r="E80" s="90">
        <v>0</v>
      </c>
      <c r="F80" s="90">
        <v>0</v>
      </c>
      <c r="G80" s="90">
        <v>0</v>
      </c>
      <c r="H80" s="90">
        <v>0</v>
      </c>
      <c r="I80" s="90">
        <v>0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  <c r="Q80" s="96">
        <f t="shared" si="4"/>
        <v>0</v>
      </c>
      <c r="S80" s="35"/>
      <c r="T80" s="40">
        <f t="shared" si="5"/>
        <v>-1</v>
      </c>
    </row>
    <row r="81" spans="1:20" ht="26.25" customHeight="1">
      <c r="A81" s="5" t="s">
        <v>580</v>
      </c>
      <c r="B81" s="3" t="s">
        <v>696</v>
      </c>
      <c r="D81" s="26" t="s">
        <v>257</v>
      </c>
      <c r="E81" s="90">
        <v>0</v>
      </c>
      <c r="F81" s="90">
        <v>0</v>
      </c>
      <c r="G81" s="90">
        <v>0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O81" s="90">
        <v>0</v>
      </c>
      <c r="P81" s="90">
        <v>0</v>
      </c>
      <c r="Q81" s="96">
        <f t="shared" si="4"/>
        <v>0</v>
      </c>
      <c r="S81" s="35"/>
      <c r="T81" s="40">
        <f t="shared" si="5"/>
        <v>-1</v>
      </c>
    </row>
    <row r="82" spans="1:20" ht="26.25" hidden="1" customHeight="1">
      <c r="A82" s="5" t="s">
        <v>582</v>
      </c>
      <c r="B82" s="3" t="s">
        <v>696</v>
      </c>
      <c r="D82" s="26" t="s">
        <v>259</v>
      </c>
      <c r="E82" s="90">
        <v>0</v>
      </c>
      <c r="F82" s="90">
        <v>0</v>
      </c>
      <c r="G82" s="90">
        <v>0</v>
      </c>
      <c r="H82" s="90">
        <v>0</v>
      </c>
      <c r="I82" s="90">
        <v>0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  <c r="Q82" s="96">
        <f t="shared" si="4"/>
        <v>0</v>
      </c>
      <c r="S82" s="35"/>
      <c r="T82" s="40">
        <f t="shared" si="5"/>
        <v>-1</v>
      </c>
    </row>
    <row r="83" spans="1:20" ht="26.25" hidden="1" customHeight="1">
      <c r="A83" s="5" t="s">
        <v>584</v>
      </c>
      <c r="B83" s="3" t="s">
        <v>696</v>
      </c>
      <c r="D83" s="26" t="s">
        <v>261</v>
      </c>
      <c r="E83" s="90">
        <v>0</v>
      </c>
      <c r="F83" s="90">
        <v>0</v>
      </c>
      <c r="G83" s="90">
        <v>0</v>
      </c>
      <c r="H83" s="90">
        <v>0</v>
      </c>
      <c r="I83" s="90">
        <v>0</v>
      </c>
      <c r="J83" s="90">
        <v>0</v>
      </c>
      <c r="K83" s="90">
        <v>0</v>
      </c>
      <c r="L83" s="90">
        <v>0</v>
      </c>
      <c r="M83" s="90">
        <v>0</v>
      </c>
      <c r="N83" s="90">
        <v>0</v>
      </c>
      <c r="O83" s="90">
        <v>0</v>
      </c>
      <c r="P83" s="90">
        <v>0</v>
      </c>
      <c r="Q83" s="96">
        <f t="shared" si="4"/>
        <v>0</v>
      </c>
      <c r="S83" s="35"/>
      <c r="T83" s="40">
        <f t="shared" si="5"/>
        <v>-1</v>
      </c>
    </row>
    <row r="84" spans="1:20" ht="26.25" hidden="1" customHeight="1">
      <c r="A84" s="5" t="s">
        <v>586</v>
      </c>
      <c r="B84" s="3" t="s">
        <v>696</v>
      </c>
      <c r="D84" s="26" t="s">
        <v>263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0">
        <v>0</v>
      </c>
      <c r="O84" s="90">
        <v>0</v>
      </c>
      <c r="P84" s="90">
        <v>0</v>
      </c>
      <c r="Q84" s="96">
        <f t="shared" si="4"/>
        <v>0</v>
      </c>
      <c r="S84" s="35"/>
      <c r="T84" s="40">
        <f t="shared" si="5"/>
        <v>-1</v>
      </c>
    </row>
    <row r="85" spans="1:20" ht="26.25" hidden="1" customHeight="1">
      <c r="A85" s="5" t="s">
        <v>588</v>
      </c>
      <c r="B85" s="3" t="s">
        <v>696</v>
      </c>
      <c r="D85" s="26" t="s">
        <v>265</v>
      </c>
      <c r="E85" s="90">
        <v>0</v>
      </c>
      <c r="F85" s="90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6">
        <f t="shared" si="4"/>
        <v>0</v>
      </c>
      <c r="S85" s="35"/>
      <c r="T85" s="40">
        <f t="shared" si="5"/>
        <v>-1</v>
      </c>
    </row>
    <row r="86" spans="1:20" ht="26.25" hidden="1" customHeight="1">
      <c r="A86" s="5" t="s">
        <v>590</v>
      </c>
      <c r="B86" s="3" t="s">
        <v>696</v>
      </c>
      <c r="D86" s="26" t="s">
        <v>267</v>
      </c>
      <c r="E86" s="90">
        <v>0</v>
      </c>
      <c r="F86" s="90">
        <v>0</v>
      </c>
      <c r="G86" s="90">
        <v>0</v>
      </c>
      <c r="H86" s="90">
        <v>0</v>
      </c>
      <c r="I86" s="90">
        <v>0</v>
      </c>
      <c r="J86" s="90">
        <v>0</v>
      </c>
      <c r="K86" s="90">
        <v>0</v>
      </c>
      <c r="L86" s="90">
        <v>0</v>
      </c>
      <c r="M86" s="90">
        <v>0</v>
      </c>
      <c r="N86" s="90">
        <v>0</v>
      </c>
      <c r="O86" s="90">
        <v>0</v>
      </c>
      <c r="P86" s="90">
        <v>0</v>
      </c>
      <c r="Q86" s="96">
        <f t="shared" si="4"/>
        <v>0</v>
      </c>
      <c r="S86" s="35"/>
      <c r="T86" s="40">
        <f t="shared" si="5"/>
        <v>-1</v>
      </c>
    </row>
    <row r="87" spans="1:20" ht="26.25" hidden="1" customHeight="1">
      <c r="A87" s="5" t="s">
        <v>592</v>
      </c>
      <c r="B87" s="3" t="s">
        <v>696</v>
      </c>
      <c r="D87" s="26" t="s">
        <v>269</v>
      </c>
      <c r="E87" s="90">
        <v>0</v>
      </c>
      <c r="F87" s="90">
        <v>0</v>
      </c>
      <c r="G87" s="90">
        <v>0</v>
      </c>
      <c r="H87" s="90">
        <v>0</v>
      </c>
      <c r="I87" s="90">
        <v>0</v>
      </c>
      <c r="J87" s="90">
        <v>0</v>
      </c>
      <c r="K87" s="90">
        <v>0</v>
      </c>
      <c r="L87" s="90">
        <v>0</v>
      </c>
      <c r="M87" s="90">
        <v>0</v>
      </c>
      <c r="N87" s="90">
        <v>0</v>
      </c>
      <c r="O87" s="90">
        <v>0</v>
      </c>
      <c r="P87" s="90">
        <v>0</v>
      </c>
      <c r="Q87" s="96">
        <f t="shared" si="4"/>
        <v>0</v>
      </c>
      <c r="S87" s="35"/>
      <c r="T87" s="40">
        <f t="shared" si="5"/>
        <v>-1</v>
      </c>
    </row>
    <row r="88" spans="1:20" ht="26.25" hidden="1" customHeight="1">
      <c r="A88" s="5" t="s">
        <v>270</v>
      </c>
      <c r="B88" s="3" t="s">
        <v>696</v>
      </c>
      <c r="D88" s="26" t="s">
        <v>271</v>
      </c>
      <c r="E88" s="90">
        <v>0</v>
      </c>
      <c r="F88" s="90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6">
        <f t="shared" ref="Q88:Q90" si="6">SUM(E88:P88)</f>
        <v>0</v>
      </c>
      <c r="S88" s="35"/>
      <c r="T88" s="40">
        <f t="shared" si="5"/>
        <v>-1</v>
      </c>
    </row>
    <row r="89" spans="1:20" ht="26.25" hidden="1" customHeight="1">
      <c r="A89" s="5" t="s">
        <v>272</v>
      </c>
      <c r="B89" s="3" t="s">
        <v>696</v>
      </c>
      <c r="D89" s="26" t="s">
        <v>273</v>
      </c>
      <c r="E89" s="90">
        <v>0</v>
      </c>
      <c r="F89" s="90">
        <v>0</v>
      </c>
      <c r="G89" s="90">
        <v>0</v>
      </c>
      <c r="H89" s="90">
        <v>0</v>
      </c>
      <c r="I89" s="90">
        <v>0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  <c r="Q89" s="96">
        <f t="shared" si="6"/>
        <v>0</v>
      </c>
      <c r="S89" s="35"/>
      <c r="T89" s="40">
        <f t="shared" si="5"/>
        <v>-1</v>
      </c>
    </row>
    <row r="90" spans="1:20" ht="26.25" customHeight="1">
      <c r="A90" s="5" t="s">
        <v>595</v>
      </c>
      <c r="B90" s="3" t="s">
        <v>696</v>
      </c>
      <c r="D90" s="26" t="s">
        <v>275</v>
      </c>
      <c r="E90" s="90">
        <v>0</v>
      </c>
      <c r="F90" s="90">
        <v>0</v>
      </c>
      <c r="G90" s="90">
        <v>0</v>
      </c>
      <c r="H90" s="90">
        <v>0</v>
      </c>
      <c r="I90" s="90">
        <v>0</v>
      </c>
      <c r="J90" s="90">
        <v>0</v>
      </c>
      <c r="K90" s="90">
        <v>0</v>
      </c>
      <c r="L90" s="90">
        <v>0</v>
      </c>
      <c r="M90" s="90">
        <v>0</v>
      </c>
      <c r="N90" s="90">
        <v>0</v>
      </c>
      <c r="O90" s="90">
        <v>0</v>
      </c>
      <c r="P90" s="90">
        <v>0</v>
      </c>
      <c r="Q90" s="96">
        <f t="shared" si="6"/>
        <v>0</v>
      </c>
      <c r="R90" s="39" t="e">
        <f>Q90/$Q$14</f>
        <v>#DIV/0!</v>
      </c>
      <c r="S90" s="35"/>
      <c r="T90" s="40">
        <f t="shared" si="5"/>
        <v>-1</v>
      </c>
    </row>
    <row r="91" spans="1:20" ht="26.25" customHeight="1">
      <c r="D91" s="21" t="s">
        <v>758</v>
      </c>
      <c r="E91" s="91">
        <f>SUM(E23:E90)</f>
        <v>0</v>
      </c>
      <c r="F91" s="91">
        <f t="shared" ref="F91:Q91" si="7">SUM(F23:F90)</f>
        <v>0</v>
      </c>
      <c r="G91" s="91">
        <f t="shared" si="7"/>
        <v>0</v>
      </c>
      <c r="H91" s="91">
        <f t="shared" si="7"/>
        <v>0</v>
      </c>
      <c r="I91" s="91">
        <f t="shared" si="7"/>
        <v>0</v>
      </c>
      <c r="J91" s="91">
        <f t="shared" si="7"/>
        <v>0</v>
      </c>
      <c r="K91" s="91">
        <f t="shared" si="7"/>
        <v>0</v>
      </c>
      <c r="L91" s="91">
        <f t="shared" si="7"/>
        <v>0</v>
      </c>
      <c r="M91" s="91">
        <f t="shared" si="7"/>
        <v>0</v>
      </c>
      <c r="N91" s="91">
        <f t="shared" si="7"/>
        <v>0</v>
      </c>
      <c r="O91" s="91">
        <f t="shared" si="7"/>
        <v>0</v>
      </c>
      <c r="P91" s="91">
        <f t="shared" si="7"/>
        <v>0</v>
      </c>
      <c r="Q91" s="91">
        <f t="shared" si="7"/>
        <v>0</v>
      </c>
      <c r="R91" s="39" t="e">
        <f>Q91/$Q$14</f>
        <v>#DIV/0!</v>
      </c>
      <c r="S91" s="35"/>
      <c r="T91" s="40">
        <f t="shared" si="5"/>
        <v>-1</v>
      </c>
    </row>
    <row r="92" spans="1:20" ht="26.25" customHeight="1">
      <c r="D92" s="21" t="s">
        <v>759</v>
      </c>
      <c r="E92" s="91">
        <f>E14-E18-E20-E91</f>
        <v>0</v>
      </c>
      <c r="F92" s="91">
        <f t="shared" ref="F92:P92" si="8">F14-F18-F20-F91</f>
        <v>0</v>
      </c>
      <c r="G92" s="91">
        <f t="shared" si="8"/>
        <v>0</v>
      </c>
      <c r="H92" s="91">
        <f t="shared" si="8"/>
        <v>0</v>
      </c>
      <c r="I92" s="91">
        <f t="shared" si="8"/>
        <v>0</v>
      </c>
      <c r="J92" s="91">
        <f t="shared" si="8"/>
        <v>0</v>
      </c>
      <c r="K92" s="91">
        <f t="shared" si="8"/>
        <v>0</v>
      </c>
      <c r="L92" s="91">
        <f t="shared" si="8"/>
        <v>0</v>
      </c>
      <c r="M92" s="91">
        <f t="shared" si="8"/>
        <v>0</v>
      </c>
      <c r="N92" s="91">
        <f t="shared" si="8"/>
        <v>0</v>
      </c>
      <c r="O92" s="91">
        <f t="shared" si="8"/>
        <v>0</v>
      </c>
      <c r="P92" s="91">
        <f t="shared" si="8"/>
        <v>0</v>
      </c>
      <c r="Q92" s="91">
        <f t="shared" ref="Q92" si="9">Q14-Q18-Q20-Q91</f>
        <v>0</v>
      </c>
      <c r="R92" s="39" t="e">
        <f>Q92/$Q$14</f>
        <v>#DIV/0!</v>
      </c>
      <c r="S92" s="35"/>
      <c r="T92" s="40">
        <f t="shared" ref="T92:T94" si="10">IF(Q92-S92=0,0,(Q92-S92)/S92)</f>
        <v>0</v>
      </c>
    </row>
    <row r="93" spans="1:20" ht="26.25" customHeight="1">
      <c r="A93" s="5" t="s">
        <v>760</v>
      </c>
      <c r="B93" s="3" t="s">
        <v>696</v>
      </c>
      <c r="D93" s="21" t="s">
        <v>353</v>
      </c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S93" s="35"/>
      <c r="T93" s="40"/>
    </row>
    <row r="94" spans="1:20" ht="26.25" customHeight="1">
      <c r="E94" s="98" t="e">
        <f>E92/E14</f>
        <v>#DIV/0!</v>
      </c>
      <c r="F94" s="98" t="e">
        <f t="shared" ref="F94:Q94" si="11">F92/F14</f>
        <v>#DIV/0!</v>
      </c>
      <c r="G94" s="98" t="e">
        <f t="shared" si="11"/>
        <v>#DIV/0!</v>
      </c>
      <c r="H94" s="98" t="e">
        <f t="shared" si="11"/>
        <v>#DIV/0!</v>
      </c>
      <c r="I94" s="98" t="e">
        <f t="shared" si="11"/>
        <v>#DIV/0!</v>
      </c>
      <c r="J94" s="98" t="e">
        <f t="shared" si="11"/>
        <v>#DIV/0!</v>
      </c>
      <c r="K94" s="98" t="e">
        <f t="shared" si="11"/>
        <v>#DIV/0!</v>
      </c>
      <c r="L94" s="98" t="e">
        <f t="shared" si="11"/>
        <v>#DIV/0!</v>
      </c>
      <c r="M94" s="98" t="e">
        <f t="shared" si="11"/>
        <v>#DIV/0!</v>
      </c>
      <c r="N94" s="98" t="e">
        <f t="shared" si="11"/>
        <v>#DIV/0!</v>
      </c>
      <c r="O94" s="98" t="e">
        <f t="shared" si="11"/>
        <v>#DIV/0!</v>
      </c>
      <c r="P94" s="98" t="e">
        <f t="shared" si="11"/>
        <v>#DIV/0!</v>
      </c>
      <c r="Q94" s="98" t="e">
        <f t="shared" si="11"/>
        <v>#DIV/0!</v>
      </c>
      <c r="S94" s="108"/>
      <c r="T94" s="40" t="e">
        <f t="shared" si="10"/>
        <v>#DIV/0!</v>
      </c>
    </row>
    <row r="95" spans="1:20" ht="26.25" customHeight="1">
      <c r="D95" s="21" t="s">
        <v>761</v>
      </c>
      <c r="E95" s="67"/>
      <c r="F95" s="99"/>
      <c r="G95" s="67"/>
      <c r="H95" s="100"/>
      <c r="I95" s="67"/>
      <c r="J95" s="99"/>
      <c r="K95" s="67"/>
      <c r="L95" s="102"/>
      <c r="M95" s="67"/>
      <c r="N95" s="99"/>
      <c r="O95" s="103"/>
      <c r="P95" s="103"/>
      <c r="Q95" s="103"/>
      <c r="S95" s="35">
        <v>0</v>
      </c>
      <c r="T95" s="40">
        <f t="shared" ref="T95:T130" si="12">IF(Q95-S95=0,0,(Q95-S95)/S95)</f>
        <v>0</v>
      </c>
    </row>
    <row r="96" spans="1:20" ht="26.25" customHeight="1">
      <c r="D96" s="21" t="s">
        <v>762</v>
      </c>
      <c r="E96" s="67"/>
      <c r="F96" s="99"/>
      <c r="G96" s="67"/>
      <c r="H96" s="100"/>
      <c r="I96" s="67"/>
      <c r="J96" s="99"/>
      <c r="K96" s="67"/>
      <c r="L96" s="102"/>
      <c r="M96" s="67"/>
      <c r="N96" s="99"/>
      <c r="O96" s="103"/>
      <c r="P96" s="103"/>
      <c r="Q96" s="103"/>
      <c r="S96" s="35">
        <v>0</v>
      </c>
      <c r="T96" s="40">
        <f t="shared" si="12"/>
        <v>0</v>
      </c>
    </row>
    <row r="97" spans="1:20" ht="26.25" customHeight="1">
      <c r="A97" s="5" t="s">
        <v>297</v>
      </c>
      <c r="B97" s="3" t="s">
        <v>696</v>
      </c>
      <c r="D97" s="26" t="s">
        <v>763</v>
      </c>
      <c r="E97" s="90">
        <v>0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6">
        <f>SUM(E97:P97)</f>
        <v>0</v>
      </c>
      <c r="S97" s="35">
        <v>0</v>
      </c>
      <c r="T97" s="40">
        <f t="shared" si="12"/>
        <v>0</v>
      </c>
    </row>
    <row r="98" spans="1:20" ht="26.25" customHeight="1">
      <c r="A98" s="5" t="s">
        <v>300</v>
      </c>
      <c r="B98" s="3" t="s">
        <v>696</v>
      </c>
      <c r="D98" s="26" t="s">
        <v>764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4">
        <f>SUM(E98:P98)</f>
        <v>0</v>
      </c>
      <c r="S98" s="35">
        <v>0</v>
      </c>
      <c r="T98" s="40">
        <f t="shared" si="12"/>
        <v>0</v>
      </c>
    </row>
    <row r="99" spans="1:20" ht="26.25" customHeight="1">
      <c r="D99" s="21" t="s">
        <v>765</v>
      </c>
      <c r="E99" s="92">
        <f>SUM(E97:E98)</f>
        <v>0</v>
      </c>
      <c r="F99" s="92">
        <f t="shared" ref="F99:Q99" si="13">SUM(F97:F98)</f>
        <v>0</v>
      </c>
      <c r="G99" s="92">
        <f t="shared" si="13"/>
        <v>0</v>
      </c>
      <c r="H99" s="92">
        <f t="shared" si="13"/>
        <v>0</v>
      </c>
      <c r="I99" s="92">
        <f t="shared" si="13"/>
        <v>0</v>
      </c>
      <c r="J99" s="92">
        <f t="shared" si="13"/>
        <v>0</v>
      </c>
      <c r="K99" s="92">
        <f t="shared" si="13"/>
        <v>0</v>
      </c>
      <c r="L99" s="92">
        <f t="shared" si="13"/>
        <v>0</v>
      </c>
      <c r="M99" s="92">
        <f t="shared" si="13"/>
        <v>0</v>
      </c>
      <c r="N99" s="92">
        <f t="shared" si="13"/>
        <v>0</v>
      </c>
      <c r="O99" s="92">
        <f t="shared" si="13"/>
        <v>0</v>
      </c>
      <c r="P99" s="92">
        <f t="shared" si="13"/>
        <v>0</v>
      </c>
      <c r="Q99" s="92">
        <f t="shared" si="13"/>
        <v>0</v>
      </c>
      <c r="S99" s="35">
        <v>0</v>
      </c>
      <c r="T99" s="40">
        <f t="shared" si="12"/>
        <v>0</v>
      </c>
    </row>
    <row r="100" spans="1:20" ht="26.25" customHeight="1">
      <c r="E100" s="67"/>
      <c r="F100" s="99"/>
      <c r="G100" s="67"/>
      <c r="H100" s="100"/>
      <c r="I100" s="67"/>
      <c r="J100" s="99"/>
      <c r="K100" s="67"/>
      <c r="L100" s="102"/>
      <c r="M100" s="67"/>
      <c r="N100" s="99"/>
      <c r="O100" s="103"/>
      <c r="P100" s="103"/>
      <c r="Q100" s="103"/>
      <c r="S100" s="35">
        <v>0</v>
      </c>
      <c r="T100" s="40">
        <f t="shared" si="12"/>
        <v>0</v>
      </c>
    </row>
    <row r="101" spans="1:20" ht="26.25" customHeight="1">
      <c r="A101" s="5" t="s">
        <v>603</v>
      </c>
      <c r="B101" s="3" t="s">
        <v>696</v>
      </c>
      <c r="D101" s="26" t="s">
        <v>766</v>
      </c>
      <c r="E101" s="90">
        <v>0</v>
      </c>
      <c r="F101" s="90">
        <v>0</v>
      </c>
      <c r="G101" s="90">
        <v>0</v>
      </c>
      <c r="H101" s="90">
        <v>0</v>
      </c>
      <c r="I101" s="90">
        <v>0</v>
      </c>
      <c r="J101" s="90">
        <v>0</v>
      </c>
      <c r="K101" s="90">
        <v>0</v>
      </c>
      <c r="L101" s="90">
        <v>0</v>
      </c>
      <c r="M101" s="90">
        <v>0</v>
      </c>
      <c r="N101" s="90">
        <v>0</v>
      </c>
      <c r="O101" s="90">
        <v>0</v>
      </c>
      <c r="P101" s="90">
        <v>0</v>
      </c>
      <c r="Q101" s="96">
        <f>SUM(E101:P101)</f>
        <v>0</v>
      </c>
      <c r="S101" s="35">
        <v>0</v>
      </c>
      <c r="T101" s="40">
        <f t="shared" si="12"/>
        <v>0</v>
      </c>
    </row>
    <row r="102" spans="1:20" ht="26.25" customHeight="1">
      <c r="A102" s="5" t="s">
        <v>310</v>
      </c>
      <c r="B102" s="3" t="s">
        <v>696</v>
      </c>
      <c r="D102" s="26" t="s">
        <v>767</v>
      </c>
      <c r="E102" s="90">
        <v>0</v>
      </c>
      <c r="F102" s="90">
        <v>0</v>
      </c>
      <c r="G102" s="90">
        <v>0</v>
      </c>
      <c r="H102" s="90">
        <v>0</v>
      </c>
      <c r="I102" s="90">
        <v>0</v>
      </c>
      <c r="J102" s="90">
        <v>0</v>
      </c>
      <c r="K102" s="90">
        <v>0</v>
      </c>
      <c r="L102" s="90">
        <v>0</v>
      </c>
      <c r="M102" s="90">
        <v>0</v>
      </c>
      <c r="N102" s="90">
        <v>0</v>
      </c>
      <c r="O102" s="90">
        <v>0</v>
      </c>
      <c r="P102" s="90">
        <v>0</v>
      </c>
      <c r="Q102" s="96">
        <f t="shared" ref="Q102:Q105" si="14">SUM(E102:P102)</f>
        <v>0</v>
      </c>
      <c r="S102" s="35">
        <v>0</v>
      </c>
      <c r="T102" s="40">
        <f t="shared" si="12"/>
        <v>0</v>
      </c>
    </row>
    <row r="103" spans="1:20" ht="26.25" customHeight="1">
      <c r="A103" s="5" t="s">
        <v>604</v>
      </c>
      <c r="B103" s="3" t="s">
        <v>696</v>
      </c>
      <c r="D103" s="26" t="s">
        <v>768</v>
      </c>
      <c r="E103" s="90">
        <v>0</v>
      </c>
      <c r="F103" s="90">
        <v>0</v>
      </c>
      <c r="G103" s="90">
        <v>0</v>
      </c>
      <c r="H103" s="90">
        <v>0</v>
      </c>
      <c r="I103" s="90">
        <v>0</v>
      </c>
      <c r="J103" s="90">
        <v>0</v>
      </c>
      <c r="K103" s="90">
        <v>0</v>
      </c>
      <c r="L103" s="90">
        <v>0</v>
      </c>
      <c r="M103" s="90">
        <v>0</v>
      </c>
      <c r="N103" s="90">
        <v>0</v>
      </c>
      <c r="O103" s="90">
        <v>0</v>
      </c>
      <c r="P103" s="90">
        <v>0</v>
      </c>
      <c r="Q103" s="96">
        <f t="shared" si="14"/>
        <v>0</v>
      </c>
      <c r="S103" s="35">
        <v>0</v>
      </c>
      <c r="T103" s="40">
        <f t="shared" si="12"/>
        <v>0</v>
      </c>
    </row>
    <row r="104" spans="1:20" ht="26.25" customHeight="1">
      <c r="A104" s="5" t="s">
        <v>605</v>
      </c>
      <c r="B104" s="3" t="s">
        <v>696</v>
      </c>
      <c r="D104" s="26" t="s">
        <v>769</v>
      </c>
      <c r="E104" s="90">
        <v>0</v>
      </c>
      <c r="F104" s="90">
        <v>0</v>
      </c>
      <c r="G104" s="90">
        <v>0</v>
      </c>
      <c r="H104" s="90">
        <v>0</v>
      </c>
      <c r="I104" s="90">
        <v>0</v>
      </c>
      <c r="J104" s="90">
        <v>0</v>
      </c>
      <c r="K104" s="90">
        <v>0</v>
      </c>
      <c r="L104" s="90">
        <v>0</v>
      </c>
      <c r="M104" s="90">
        <v>0</v>
      </c>
      <c r="N104" s="90">
        <v>0</v>
      </c>
      <c r="O104" s="90">
        <v>0</v>
      </c>
      <c r="P104" s="90">
        <v>0</v>
      </c>
      <c r="Q104" s="96">
        <f t="shared" si="14"/>
        <v>0</v>
      </c>
      <c r="S104" s="35">
        <v>0</v>
      </c>
      <c r="T104" s="40">
        <f t="shared" si="12"/>
        <v>0</v>
      </c>
    </row>
    <row r="105" spans="1:20" ht="26.25" customHeight="1">
      <c r="A105" s="5" t="s">
        <v>606</v>
      </c>
      <c r="B105" s="3" t="s">
        <v>696</v>
      </c>
      <c r="D105" s="26" t="s">
        <v>770</v>
      </c>
      <c r="E105" s="90">
        <v>0</v>
      </c>
      <c r="F105" s="90">
        <v>0</v>
      </c>
      <c r="G105" s="90">
        <v>0</v>
      </c>
      <c r="H105" s="90">
        <v>0</v>
      </c>
      <c r="I105" s="90">
        <v>0</v>
      </c>
      <c r="J105" s="90">
        <v>0</v>
      </c>
      <c r="K105" s="90">
        <v>0</v>
      </c>
      <c r="L105" s="90">
        <v>0</v>
      </c>
      <c r="M105" s="90">
        <v>0</v>
      </c>
      <c r="N105" s="90">
        <v>0</v>
      </c>
      <c r="O105" s="90">
        <v>0</v>
      </c>
      <c r="P105" s="90">
        <v>0</v>
      </c>
      <c r="Q105" s="113">
        <f t="shared" si="14"/>
        <v>0</v>
      </c>
      <c r="S105" s="35">
        <v>0</v>
      </c>
      <c r="T105" s="40">
        <f t="shared" si="12"/>
        <v>0</v>
      </c>
    </row>
    <row r="106" spans="1:20" ht="26.25" customHeight="1">
      <c r="A106" s="5" t="s">
        <v>1066</v>
      </c>
      <c r="B106" s="5" t="s">
        <v>687</v>
      </c>
      <c r="D106" s="26" t="s">
        <v>1136</v>
      </c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113">
        <f t="shared" ref="Q106:Q107" si="15">SUM(E106:P106)</f>
        <v>0</v>
      </c>
      <c r="R106" s="39">
        <f t="shared" ref="R106:R107" si="16">IF($Q$14=0,0,Q106/$Q$14)</f>
        <v>0</v>
      </c>
      <c r="S106" s="35"/>
      <c r="T106" s="40">
        <f t="shared" ref="T106:T107" si="17">-IF(Q106-S106=0,0,(Q106-S106)/S106)</f>
        <v>0</v>
      </c>
    </row>
    <row r="107" spans="1:20" ht="26.25" customHeight="1">
      <c r="A107" s="5" t="s">
        <v>1066</v>
      </c>
      <c r="B107" s="5" t="s">
        <v>687</v>
      </c>
      <c r="D107" s="26" t="s">
        <v>1070</v>
      </c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113">
        <f t="shared" si="15"/>
        <v>0</v>
      </c>
      <c r="R107" s="39">
        <f t="shared" si="16"/>
        <v>0</v>
      </c>
      <c r="S107" s="35"/>
      <c r="T107" s="40">
        <f t="shared" si="17"/>
        <v>0</v>
      </c>
    </row>
    <row r="108" spans="1:20" ht="26.25" customHeight="1">
      <c r="D108" s="21" t="s">
        <v>771</v>
      </c>
      <c r="E108" s="92">
        <f>SUM(E101:E107)</f>
        <v>0</v>
      </c>
      <c r="F108" s="92">
        <f t="shared" ref="F108:Q108" si="18">SUM(F101:F107)</f>
        <v>0</v>
      </c>
      <c r="G108" s="92">
        <f t="shared" si="18"/>
        <v>0</v>
      </c>
      <c r="H108" s="92">
        <f t="shared" si="18"/>
        <v>0</v>
      </c>
      <c r="I108" s="92">
        <f t="shared" si="18"/>
        <v>0</v>
      </c>
      <c r="J108" s="92">
        <f t="shared" si="18"/>
        <v>0</v>
      </c>
      <c r="K108" s="92">
        <f t="shared" si="18"/>
        <v>0</v>
      </c>
      <c r="L108" s="92">
        <f t="shared" si="18"/>
        <v>0</v>
      </c>
      <c r="M108" s="92">
        <f t="shared" si="18"/>
        <v>0</v>
      </c>
      <c r="N108" s="92">
        <f t="shared" si="18"/>
        <v>0</v>
      </c>
      <c r="O108" s="92">
        <f t="shared" si="18"/>
        <v>0</v>
      </c>
      <c r="P108" s="92">
        <f t="shared" si="18"/>
        <v>0</v>
      </c>
      <c r="Q108" s="92">
        <f t="shared" si="18"/>
        <v>0</v>
      </c>
      <c r="S108" s="35">
        <v>0</v>
      </c>
      <c r="T108" s="40">
        <f t="shared" si="12"/>
        <v>0</v>
      </c>
    </row>
    <row r="109" spans="1:20" ht="26.25" customHeight="1">
      <c r="E109" s="67"/>
      <c r="F109" s="99"/>
      <c r="G109" s="67"/>
      <c r="H109" s="100"/>
      <c r="I109" s="67"/>
      <c r="J109" s="99"/>
      <c r="K109" s="67"/>
      <c r="L109" s="102"/>
      <c r="M109" s="67"/>
      <c r="N109" s="99"/>
      <c r="O109" s="103"/>
      <c r="P109" s="103"/>
      <c r="Q109" s="103"/>
      <c r="S109" s="35">
        <v>0</v>
      </c>
      <c r="T109" s="40">
        <f t="shared" si="12"/>
        <v>0</v>
      </c>
    </row>
    <row r="110" spans="1:20" ht="26.25" customHeight="1">
      <c r="A110" s="5" t="s">
        <v>609</v>
      </c>
      <c r="B110" s="3" t="s">
        <v>696</v>
      </c>
      <c r="D110" s="26" t="s">
        <v>772</v>
      </c>
      <c r="E110" s="90">
        <v>0</v>
      </c>
      <c r="F110" s="90">
        <v>0</v>
      </c>
      <c r="G110" s="90">
        <v>0</v>
      </c>
      <c r="H110" s="90">
        <v>0</v>
      </c>
      <c r="I110" s="90">
        <v>0</v>
      </c>
      <c r="J110" s="90">
        <v>0</v>
      </c>
      <c r="K110" s="90">
        <v>0</v>
      </c>
      <c r="L110" s="90">
        <v>0</v>
      </c>
      <c r="M110" s="90">
        <v>0</v>
      </c>
      <c r="N110" s="90">
        <v>0</v>
      </c>
      <c r="O110" s="90">
        <v>0</v>
      </c>
      <c r="P110" s="90">
        <v>0</v>
      </c>
      <c r="Q110" s="113">
        <f>SUM(E110:P110)</f>
        <v>0</v>
      </c>
      <c r="S110" s="35">
        <v>0</v>
      </c>
      <c r="T110" s="40">
        <f t="shared" si="12"/>
        <v>0</v>
      </c>
    </row>
    <row r="111" spans="1:20" ht="26.25" customHeight="1">
      <c r="A111" s="5" t="s">
        <v>610</v>
      </c>
      <c r="B111" s="3" t="s">
        <v>696</v>
      </c>
      <c r="D111" s="26" t="s">
        <v>773</v>
      </c>
      <c r="E111" s="90">
        <v>0</v>
      </c>
      <c r="F111" s="90">
        <v>0</v>
      </c>
      <c r="G111" s="90">
        <v>0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90">
        <v>0</v>
      </c>
      <c r="O111" s="90">
        <v>0</v>
      </c>
      <c r="P111" s="90">
        <v>0</v>
      </c>
      <c r="Q111" s="113">
        <f t="shared" ref="Q111:Q117" si="19">SUM(E111:P111)</f>
        <v>0</v>
      </c>
      <c r="S111" s="35">
        <v>0</v>
      </c>
      <c r="T111" s="40">
        <f t="shared" si="12"/>
        <v>0</v>
      </c>
    </row>
    <row r="112" spans="1:20" ht="26.25" customHeight="1">
      <c r="A112" s="5" t="s">
        <v>611</v>
      </c>
      <c r="B112" s="3" t="s">
        <v>696</v>
      </c>
      <c r="D112" s="26" t="s">
        <v>774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90">
        <v>0</v>
      </c>
      <c r="P112" s="90">
        <v>0</v>
      </c>
      <c r="Q112" s="113">
        <f t="shared" si="19"/>
        <v>0</v>
      </c>
      <c r="S112" s="35">
        <v>0</v>
      </c>
      <c r="T112" s="40">
        <f t="shared" si="12"/>
        <v>0</v>
      </c>
    </row>
    <row r="113" spans="1:20" ht="26.25" customHeight="1">
      <c r="A113" s="5" t="s">
        <v>612</v>
      </c>
      <c r="B113" s="3" t="s">
        <v>696</v>
      </c>
      <c r="D113" s="26" t="s">
        <v>775</v>
      </c>
      <c r="E113" s="90">
        <v>0</v>
      </c>
      <c r="F113" s="90">
        <v>0</v>
      </c>
      <c r="G113" s="90">
        <v>0</v>
      </c>
      <c r="H113" s="90">
        <v>0</v>
      </c>
      <c r="I113" s="90">
        <v>0</v>
      </c>
      <c r="J113" s="90">
        <v>0</v>
      </c>
      <c r="K113" s="90">
        <v>0</v>
      </c>
      <c r="L113" s="90">
        <v>0</v>
      </c>
      <c r="M113" s="90">
        <v>0</v>
      </c>
      <c r="N113" s="90">
        <v>0</v>
      </c>
      <c r="O113" s="90">
        <v>0</v>
      </c>
      <c r="P113" s="90">
        <v>0</v>
      </c>
      <c r="Q113" s="113">
        <f t="shared" si="19"/>
        <v>0</v>
      </c>
      <c r="S113" s="35">
        <v>0</v>
      </c>
      <c r="T113" s="40">
        <f t="shared" si="12"/>
        <v>0</v>
      </c>
    </row>
    <row r="114" spans="1:20" ht="26.25" customHeight="1">
      <c r="A114" s="5" t="s">
        <v>613</v>
      </c>
      <c r="B114" s="3" t="s">
        <v>696</v>
      </c>
      <c r="D114" s="26" t="s">
        <v>776</v>
      </c>
      <c r="E114" s="90">
        <v>0</v>
      </c>
      <c r="F114" s="90">
        <v>0</v>
      </c>
      <c r="G114" s="90">
        <v>0</v>
      </c>
      <c r="H114" s="90">
        <v>0</v>
      </c>
      <c r="I114" s="90">
        <v>0</v>
      </c>
      <c r="J114" s="90">
        <v>0</v>
      </c>
      <c r="K114" s="90">
        <v>0</v>
      </c>
      <c r="L114" s="90">
        <v>0</v>
      </c>
      <c r="M114" s="90">
        <v>0</v>
      </c>
      <c r="N114" s="90">
        <v>0</v>
      </c>
      <c r="O114" s="90">
        <v>0</v>
      </c>
      <c r="P114" s="90">
        <v>0</v>
      </c>
      <c r="Q114" s="113">
        <f t="shared" si="19"/>
        <v>0</v>
      </c>
      <c r="S114" s="35">
        <v>0</v>
      </c>
      <c r="T114" s="40">
        <f t="shared" si="12"/>
        <v>0</v>
      </c>
    </row>
    <row r="115" spans="1:20" ht="26.25" customHeight="1">
      <c r="A115" s="5" t="s">
        <v>614</v>
      </c>
      <c r="B115" s="3" t="s">
        <v>696</v>
      </c>
      <c r="D115" s="26" t="s">
        <v>777</v>
      </c>
      <c r="E115" s="90">
        <v>0</v>
      </c>
      <c r="F115" s="90">
        <v>0</v>
      </c>
      <c r="G115" s="90">
        <v>0</v>
      </c>
      <c r="H115" s="90">
        <v>0</v>
      </c>
      <c r="I115" s="90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90">
        <v>0</v>
      </c>
      <c r="P115" s="90">
        <v>0</v>
      </c>
      <c r="Q115" s="113">
        <f t="shared" si="19"/>
        <v>0</v>
      </c>
      <c r="S115" s="35">
        <v>0</v>
      </c>
      <c r="T115" s="40">
        <f t="shared" si="12"/>
        <v>0</v>
      </c>
    </row>
    <row r="116" spans="1:20" ht="26.25" customHeight="1">
      <c r="A116" s="5" t="s">
        <v>615</v>
      </c>
      <c r="B116" s="3" t="s">
        <v>696</v>
      </c>
      <c r="D116" s="26" t="s">
        <v>778</v>
      </c>
      <c r="E116" s="90">
        <v>0</v>
      </c>
      <c r="F116" s="90">
        <v>0</v>
      </c>
      <c r="G116" s="90">
        <v>0</v>
      </c>
      <c r="H116" s="90">
        <v>0</v>
      </c>
      <c r="I116" s="90">
        <v>0</v>
      </c>
      <c r="J116" s="90">
        <v>0</v>
      </c>
      <c r="K116" s="90">
        <v>0</v>
      </c>
      <c r="L116" s="90">
        <v>0</v>
      </c>
      <c r="M116" s="90">
        <v>0</v>
      </c>
      <c r="N116" s="90">
        <v>0</v>
      </c>
      <c r="O116" s="90">
        <v>0</v>
      </c>
      <c r="P116" s="90">
        <v>0</v>
      </c>
      <c r="Q116" s="113">
        <f t="shared" si="19"/>
        <v>0</v>
      </c>
      <c r="S116" s="35">
        <v>0</v>
      </c>
      <c r="T116" s="40">
        <f t="shared" si="12"/>
        <v>0</v>
      </c>
    </row>
    <row r="117" spans="1:20" ht="26.25" customHeight="1">
      <c r="A117" s="5" t="s">
        <v>616</v>
      </c>
      <c r="B117" s="3" t="s">
        <v>696</v>
      </c>
      <c r="D117" s="26" t="s">
        <v>779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4">
        <f t="shared" si="19"/>
        <v>0</v>
      </c>
      <c r="S117" s="35">
        <v>0</v>
      </c>
      <c r="T117" s="40">
        <f t="shared" si="12"/>
        <v>0</v>
      </c>
    </row>
    <row r="118" spans="1:20" ht="26.25" customHeight="1">
      <c r="D118" s="21" t="s">
        <v>780</v>
      </c>
      <c r="E118" s="92">
        <f>SUM(E110:E117)</f>
        <v>0</v>
      </c>
      <c r="F118" s="92">
        <f t="shared" ref="F118:Q118" si="20">SUM(F110:F117)</f>
        <v>0</v>
      </c>
      <c r="G118" s="92">
        <f t="shared" si="20"/>
        <v>0</v>
      </c>
      <c r="H118" s="92">
        <f t="shared" si="20"/>
        <v>0</v>
      </c>
      <c r="I118" s="92">
        <f t="shared" si="20"/>
        <v>0</v>
      </c>
      <c r="J118" s="92">
        <f t="shared" si="20"/>
        <v>0</v>
      </c>
      <c r="K118" s="92">
        <f t="shared" si="20"/>
        <v>0</v>
      </c>
      <c r="L118" s="92">
        <f t="shared" si="20"/>
        <v>0</v>
      </c>
      <c r="M118" s="92">
        <f t="shared" si="20"/>
        <v>0</v>
      </c>
      <c r="N118" s="92">
        <f t="shared" si="20"/>
        <v>0</v>
      </c>
      <c r="O118" s="92">
        <f t="shared" si="20"/>
        <v>0</v>
      </c>
      <c r="P118" s="92">
        <f t="shared" si="20"/>
        <v>0</v>
      </c>
      <c r="Q118" s="92">
        <f t="shared" si="20"/>
        <v>0</v>
      </c>
      <c r="S118" s="35">
        <v>0</v>
      </c>
      <c r="T118" s="40">
        <f t="shared" si="12"/>
        <v>0</v>
      </c>
    </row>
    <row r="119" spans="1:20" ht="26.25" customHeight="1">
      <c r="E119" s="67"/>
      <c r="F119" s="99"/>
      <c r="G119" s="67"/>
      <c r="H119" s="100"/>
      <c r="I119" s="67"/>
      <c r="J119" s="99"/>
      <c r="K119" s="67"/>
      <c r="L119" s="102"/>
      <c r="M119" s="67"/>
      <c r="N119" s="99"/>
      <c r="O119" s="103"/>
      <c r="P119" s="103"/>
      <c r="Q119" s="103"/>
      <c r="S119" s="35">
        <v>0</v>
      </c>
      <c r="T119" s="40">
        <f t="shared" si="12"/>
        <v>0</v>
      </c>
    </row>
    <row r="120" spans="1:20" ht="26.25" customHeight="1">
      <c r="A120" s="5" t="s">
        <v>617</v>
      </c>
      <c r="B120" s="3" t="s">
        <v>696</v>
      </c>
      <c r="D120" s="26" t="s">
        <v>781</v>
      </c>
      <c r="E120" s="90">
        <v>0</v>
      </c>
      <c r="F120" s="90">
        <v>0</v>
      </c>
      <c r="G120" s="90">
        <v>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90">
        <v>0</v>
      </c>
      <c r="O120" s="90">
        <v>0</v>
      </c>
      <c r="P120" s="90">
        <v>0</v>
      </c>
      <c r="Q120" s="96">
        <f>SUM(E120:P120)</f>
        <v>0</v>
      </c>
      <c r="S120" s="35">
        <v>0</v>
      </c>
      <c r="T120" s="40">
        <f t="shared" si="12"/>
        <v>0</v>
      </c>
    </row>
    <row r="121" spans="1:20" ht="26.25" customHeight="1">
      <c r="A121" s="5" t="s">
        <v>618</v>
      </c>
      <c r="B121" s="3" t="s">
        <v>696</v>
      </c>
      <c r="D121" s="26" t="s">
        <v>782</v>
      </c>
      <c r="E121" s="90">
        <v>0</v>
      </c>
      <c r="F121" s="90">
        <v>0</v>
      </c>
      <c r="G121" s="90">
        <v>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90">
        <v>0</v>
      </c>
      <c r="O121" s="90">
        <v>0</v>
      </c>
      <c r="P121" s="90">
        <v>0</v>
      </c>
      <c r="Q121" s="96">
        <f t="shared" ref="Q121:Q124" si="21">SUM(E121:P121)</f>
        <v>0</v>
      </c>
      <c r="S121" s="35">
        <v>0</v>
      </c>
      <c r="T121" s="40">
        <f t="shared" si="12"/>
        <v>0</v>
      </c>
    </row>
    <row r="122" spans="1:20" ht="26.25" customHeight="1">
      <c r="A122" s="5" t="s">
        <v>619</v>
      </c>
      <c r="B122" s="3" t="s">
        <v>696</v>
      </c>
      <c r="D122" s="26" t="s">
        <v>783</v>
      </c>
      <c r="E122" s="90">
        <v>0</v>
      </c>
      <c r="F122" s="90">
        <v>0</v>
      </c>
      <c r="G122" s="90">
        <v>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90">
        <v>0</v>
      </c>
      <c r="O122" s="90">
        <v>0</v>
      </c>
      <c r="P122" s="90">
        <v>0</v>
      </c>
      <c r="Q122" s="96">
        <f t="shared" si="21"/>
        <v>0</v>
      </c>
      <c r="S122" s="35">
        <v>0</v>
      </c>
      <c r="T122" s="40">
        <f t="shared" si="12"/>
        <v>0</v>
      </c>
    </row>
    <row r="123" spans="1:20" ht="26.25" customHeight="1">
      <c r="A123" s="5" t="s">
        <v>620</v>
      </c>
      <c r="B123" s="3" t="s">
        <v>696</v>
      </c>
      <c r="D123" s="26" t="s">
        <v>784</v>
      </c>
      <c r="E123" s="90">
        <v>0</v>
      </c>
      <c r="F123" s="90">
        <v>0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90">
        <v>0</v>
      </c>
      <c r="P123" s="90">
        <v>0</v>
      </c>
      <c r="Q123" s="96">
        <f t="shared" si="21"/>
        <v>0</v>
      </c>
      <c r="S123" s="35">
        <v>0</v>
      </c>
      <c r="T123" s="40">
        <f t="shared" si="12"/>
        <v>0</v>
      </c>
    </row>
    <row r="124" spans="1:20" ht="26.25" customHeight="1">
      <c r="A124" s="5" t="s">
        <v>621</v>
      </c>
      <c r="B124" s="3" t="s">
        <v>696</v>
      </c>
      <c r="D124" s="26" t="s">
        <v>785</v>
      </c>
      <c r="E124" s="90">
        <v>0</v>
      </c>
      <c r="F124" s="90">
        <v>0</v>
      </c>
      <c r="G124" s="90">
        <v>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90">
        <v>0</v>
      </c>
      <c r="O124" s="90">
        <v>0</v>
      </c>
      <c r="P124" s="90">
        <v>0</v>
      </c>
      <c r="Q124" s="96">
        <f t="shared" si="21"/>
        <v>0</v>
      </c>
      <c r="S124" s="35">
        <v>0</v>
      </c>
      <c r="T124" s="40">
        <f t="shared" si="12"/>
        <v>0</v>
      </c>
    </row>
    <row r="125" spans="1:20" ht="26.25" customHeight="1">
      <c r="A125" s="5" t="s">
        <v>346</v>
      </c>
      <c r="B125" s="3" t="s">
        <v>696</v>
      </c>
      <c r="D125" s="26" t="s">
        <v>786</v>
      </c>
      <c r="E125" s="90">
        <v>0</v>
      </c>
      <c r="F125" s="90">
        <v>0</v>
      </c>
      <c r="G125" s="90">
        <v>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  <c r="Q125" s="90">
        <f t="shared" ref="Q125:Q126" si="22">SUM(E125:P125)</f>
        <v>0</v>
      </c>
      <c r="S125" s="35">
        <v>0</v>
      </c>
      <c r="T125" s="40">
        <f t="shared" si="12"/>
        <v>0</v>
      </c>
    </row>
    <row r="126" spans="1:20" ht="26.25" customHeight="1">
      <c r="A126" s="5" t="s">
        <v>624</v>
      </c>
      <c r="B126" s="3" t="s">
        <v>696</v>
      </c>
      <c r="D126" s="26" t="s">
        <v>787</v>
      </c>
      <c r="E126" s="90">
        <v>0</v>
      </c>
      <c r="F126" s="90">
        <v>0</v>
      </c>
      <c r="G126" s="90">
        <v>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90">
        <v>0</v>
      </c>
      <c r="O126" s="90">
        <v>0</v>
      </c>
      <c r="P126" s="90">
        <v>0</v>
      </c>
      <c r="Q126" s="90">
        <f t="shared" si="22"/>
        <v>0</v>
      </c>
      <c r="S126" s="35">
        <v>0</v>
      </c>
      <c r="T126" s="40">
        <f t="shared" si="12"/>
        <v>0</v>
      </c>
    </row>
    <row r="127" spans="1:20" ht="26.25" customHeight="1">
      <c r="D127" s="26" t="s">
        <v>788</v>
      </c>
      <c r="E127" s="112">
        <f>SUM(E120:E126)</f>
        <v>0</v>
      </c>
      <c r="F127" s="112">
        <f t="shared" ref="F127:Q127" si="23">SUM(F120:F126)</f>
        <v>0</v>
      </c>
      <c r="G127" s="112">
        <f t="shared" si="23"/>
        <v>0</v>
      </c>
      <c r="H127" s="112">
        <f t="shared" si="23"/>
        <v>0</v>
      </c>
      <c r="I127" s="112">
        <f t="shared" si="23"/>
        <v>0</v>
      </c>
      <c r="J127" s="112">
        <f t="shared" si="23"/>
        <v>0</v>
      </c>
      <c r="K127" s="112">
        <f t="shared" si="23"/>
        <v>0</v>
      </c>
      <c r="L127" s="112">
        <f t="shared" si="23"/>
        <v>0</v>
      </c>
      <c r="M127" s="112">
        <f t="shared" si="23"/>
        <v>0</v>
      </c>
      <c r="N127" s="112">
        <f t="shared" si="23"/>
        <v>0</v>
      </c>
      <c r="O127" s="112">
        <f t="shared" si="23"/>
        <v>0</v>
      </c>
      <c r="P127" s="112">
        <f t="shared" si="23"/>
        <v>0</v>
      </c>
      <c r="Q127" s="112">
        <f t="shared" si="23"/>
        <v>0</v>
      </c>
      <c r="S127" s="35">
        <v>0</v>
      </c>
      <c r="T127" s="40">
        <f t="shared" si="12"/>
        <v>0</v>
      </c>
    </row>
    <row r="128" spans="1:20" ht="26.25" customHeight="1">
      <c r="D128" s="21" t="s">
        <v>789</v>
      </c>
      <c r="E128" s="92">
        <f t="shared" ref="E128:Q128" si="24">E99+E108+E118+E127</f>
        <v>0</v>
      </c>
      <c r="F128" s="92">
        <f t="shared" si="24"/>
        <v>0</v>
      </c>
      <c r="G128" s="92">
        <f t="shared" si="24"/>
        <v>0</v>
      </c>
      <c r="H128" s="92">
        <f t="shared" si="24"/>
        <v>0</v>
      </c>
      <c r="I128" s="92">
        <f t="shared" si="24"/>
        <v>0</v>
      </c>
      <c r="J128" s="92">
        <f t="shared" si="24"/>
        <v>0</v>
      </c>
      <c r="K128" s="92">
        <f t="shared" si="24"/>
        <v>0</v>
      </c>
      <c r="L128" s="92">
        <f t="shared" si="24"/>
        <v>0</v>
      </c>
      <c r="M128" s="92">
        <f t="shared" si="24"/>
        <v>0</v>
      </c>
      <c r="N128" s="92">
        <f t="shared" si="24"/>
        <v>0</v>
      </c>
      <c r="O128" s="92">
        <f t="shared" si="24"/>
        <v>0</v>
      </c>
      <c r="P128" s="92">
        <f t="shared" si="24"/>
        <v>0</v>
      </c>
      <c r="Q128" s="92">
        <f t="shared" si="24"/>
        <v>0</v>
      </c>
      <c r="S128" s="35">
        <v>0</v>
      </c>
      <c r="T128" s="40">
        <f t="shared" si="12"/>
        <v>0</v>
      </c>
    </row>
    <row r="129" spans="1:20" ht="26.25" customHeight="1">
      <c r="D129" s="21"/>
      <c r="E129" s="67"/>
      <c r="F129" s="99"/>
      <c r="G129" s="67"/>
      <c r="H129" s="100"/>
      <c r="I129" s="67"/>
      <c r="J129" s="99"/>
      <c r="K129" s="67"/>
      <c r="L129" s="102"/>
      <c r="M129" s="67"/>
      <c r="N129" s="99"/>
      <c r="O129" s="103"/>
      <c r="P129" s="103"/>
      <c r="Q129" s="103"/>
      <c r="S129" s="35">
        <v>0</v>
      </c>
      <c r="T129" s="40">
        <f t="shared" si="12"/>
        <v>0</v>
      </c>
    </row>
    <row r="130" spans="1:20" ht="26.25" customHeight="1">
      <c r="A130" s="5" t="s">
        <v>108</v>
      </c>
      <c r="B130" s="3" t="s">
        <v>696</v>
      </c>
      <c r="D130" s="21" t="s">
        <v>790</v>
      </c>
      <c r="E130" s="92">
        <v>0</v>
      </c>
      <c r="F130" s="92">
        <v>0</v>
      </c>
      <c r="G130" s="92">
        <v>0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92">
        <v>0</v>
      </c>
      <c r="O130" s="92">
        <v>0</v>
      </c>
      <c r="P130" s="92">
        <v>0</v>
      </c>
      <c r="Q130" s="92"/>
      <c r="S130" s="35">
        <v>0</v>
      </c>
      <c r="T130" s="40">
        <f t="shared" si="12"/>
        <v>0</v>
      </c>
    </row>
  </sheetData>
  <phoneticPr fontId="56" type="noConversion"/>
  <dataValidations count="7">
    <dataValidation type="textLength" errorStyle="information" allowBlank="1" showInputMessage="1" showErrorMessage="1" error="XLBVal:6=3239.86_x000d__x000a_" sqref="E21:P22 E18:P19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28280_x000d__x000a_" sqref="Q16">
      <formula1>0</formula1>
      <formula2>300</formula2>
    </dataValidation>
    <dataValidation type="textLength" errorStyle="information" allowBlank="1" showInputMessage="1" showErrorMessage="1" error="XLBVal:2=0_x000d__x000a_" sqref="E20:P20 E93:I93 K93:Q93 E130:Q130 Q17:Q91 E16:P17 E12:Q13 E23:P91 E120:Q127 E110:Q118 E97:Q98 E101:Q105 Q106:Q107">
      <formula1>0</formula1>
      <formula2>300</formula2>
    </dataValidation>
    <dataValidation type="textLength" errorStyle="information" allowBlank="1" showInputMessage="1" showErrorMessage="1" error="XLBVal:6=0_x000d__x000a_" sqref="J93">
      <formula1>0</formula1>
      <formula2>300</formula2>
    </dataValidation>
    <dataValidation type="textLength" errorStyle="information" allowBlank="1" showInputMessage="1" showErrorMessage="1" error="XLBVal:6=6688509.16_x000d__x000a_" sqref="E14:Q15">
      <formula1>0</formula1>
      <formula2>300</formula2>
    </dataValidation>
    <dataValidation type="textLength" errorStyle="information" allowBlank="1" showInputMessage="1" showErrorMessage="1" error="XLBVal:6=800_x000d__x000a_" sqref="E106:P10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T155"/>
  <sheetViews>
    <sheetView topLeftCell="D1" zoomScale="50" zoomScaleNormal="50" zoomScaleSheetLayoutView="40" workbookViewId="0">
      <pane xSplit="1" ySplit="10" topLeftCell="E46" activePane="bottomRight" state="frozen"/>
      <selection activeCell="D9" sqref="D9"/>
      <selection pane="topRight" activeCell="D9" sqref="D9"/>
      <selection pane="bottomLeft" activeCell="D9" sqref="D9"/>
      <selection pane="bottomRight" activeCell="E94" sqref="E94:P94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82.453125" style="6" customWidth="1" collapsed="1"/>
    <col min="5" max="5" width="22.453125" style="7" customWidth="1"/>
    <col min="6" max="6" width="22.453125" style="82" customWidth="1"/>
    <col min="7" max="7" width="22.453125" style="7" customWidth="1"/>
    <col min="8" max="8" width="22.453125" style="6" customWidth="1"/>
    <col min="9" max="9" width="22.453125" style="7" customWidth="1"/>
    <col min="10" max="10" width="22.453125" style="82" customWidth="1"/>
    <col min="11" max="11" width="22.453125" style="7" customWidth="1"/>
    <col min="12" max="12" width="22.453125" style="83" customWidth="1"/>
    <col min="13" max="13" width="22.453125" style="7" customWidth="1"/>
    <col min="14" max="14" width="22.453125" style="82" customWidth="1"/>
    <col min="15" max="16" width="22.453125" style="5" customWidth="1"/>
    <col min="17" max="17" width="25.453125" style="5" customWidth="1"/>
    <col min="18" max="18" width="17.453125" style="5" customWidth="1"/>
    <col min="19" max="19" width="22.453125" style="8" customWidth="1"/>
    <col min="20" max="20" width="22.453125" style="5" customWidth="1"/>
    <col min="21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5.4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5.4" customHeight="1">
      <c r="D6" s="14" t="s">
        <v>837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5.4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5.4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51" t="s">
        <v>838</v>
      </c>
      <c r="B12" s="3" t="s">
        <v>704</v>
      </c>
      <c r="C12" s="49">
        <v>3401</v>
      </c>
      <c r="D12" s="3" t="s">
        <v>839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>
        <f>SUM(E12:P12)</f>
        <v>0</v>
      </c>
      <c r="S12" s="35"/>
      <c r="T12" s="40">
        <f>IF(Q12-S12=0,0,(Q12-S12)/S12)</f>
        <v>0</v>
      </c>
    </row>
    <row r="13" spans="1:20" s="3" customFormat="1" ht="25.4" customHeight="1">
      <c r="A13" s="51" t="s">
        <v>703</v>
      </c>
      <c r="B13" s="3" t="s">
        <v>704</v>
      </c>
      <c r="C13" s="49"/>
      <c r="D13" s="26" t="s">
        <v>840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>
        <f>SUM(E13:P13)</f>
        <v>0</v>
      </c>
      <c r="S13" s="35"/>
      <c r="T13" s="40">
        <f t="shared" ref="T13:T42" si="0">IF(Q13-S13=0,0,(Q13-S13)/S13)</f>
        <v>0</v>
      </c>
    </row>
    <row r="14" spans="1:20" s="3" customFormat="1" ht="25.4" customHeight="1">
      <c r="A14" s="51">
        <v>38108100</v>
      </c>
      <c r="B14" s="3" t="s">
        <v>704</v>
      </c>
      <c r="C14" s="49"/>
      <c r="D14" s="26" t="s">
        <v>841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>
        <f>SUM(E14:P14)</f>
        <v>0</v>
      </c>
      <c r="S14" s="35"/>
      <c r="T14" s="40">
        <f>IF(S14&lt;&gt;0,(Q14-S14)/S14,1)</f>
        <v>1</v>
      </c>
    </row>
    <row r="15" spans="1:20" s="3" customFormat="1" ht="25.4" customHeight="1">
      <c r="D15" s="21" t="s">
        <v>655</v>
      </c>
      <c r="E15" s="30">
        <f t="shared" ref="E15:Q15" si="1">SUM(E12:E14)</f>
        <v>0</v>
      </c>
      <c r="F15" s="30">
        <f t="shared" si="1"/>
        <v>0</v>
      </c>
      <c r="G15" s="30">
        <f t="shared" si="1"/>
        <v>0</v>
      </c>
      <c r="H15" s="30">
        <f t="shared" si="1"/>
        <v>0</v>
      </c>
      <c r="I15" s="30">
        <f t="shared" si="1"/>
        <v>0</v>
      </c>
      <c r="J15" s="30">
        <f t="shared" si="1"/>
        <v>0</v>
      </c>
      <c r="K15" s="30">
        <f t="shared" si="1"/>
        <v>0</v>
      </c>
      <c r="L15" s="30">
        <f t="shared" si="1"/>
        <v>0</v>
      </c>
      <c r="M15" s="30">
        <f t="shared" si="1"/>
        <v>0</v>
      </c>
      <c r="N15" s="30">
        <f t="shared" si="1"/>
        <v>0</v>
      </c>
      <c r="O15" s="30">
        <f t="shared" si="1"/>
        <v>0</v>
      </c>
      <c r="P15" s="30">
        <f t="shared" si="1"/>
        <v>0</v>
      </c>
      <c r="Q15" s="30">
        <f t="shared" si="1"/>
        <v>0</v>
      </c>
      <c r="S15" s="35"/>
      <c r="T15" s="40">
        <f t="shared" si="0"/>
        <v>0</v>
      </c>
    </row>
    <row r="16" spans="1:20" s="3" customFormat="1" ht="25.4" customHeight="1">
      <c r="D16" s="21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S16" s="35"/>
      <c r="T16" s="40"/>
    </row>
    <row r="17" spans="1:20" s="3" customFormat="1" ht="25.4" customHeight="1">
      <c r="D17" s="21" t="s">
        <v>411</v>
      </c>
      <c r="E17" s="27"/>
      <c r="F17" s="89"/>
      <c r="G17" s="27"/>
      <c r="H17" s="89"/>
      <c r="I17" s="27"/>
      <c r="J17" s="89"/>
      <c r="K17" s="27"/>
      <c r="L17" s="89"/>
      <c r="M17" s="27"/>
      <c r="N17" s="89"/>
      <c r="O17" s="96"/>
      <c r="P17" s="96"/>
      <c r="Q17" s="96"/>
      <c r="S17" s="35"/>
      <c r="T17" s="40"/>
    </row>
    <row r="18" spans="1:20" s="3" customFormat="1" ht="25.4" hidden="1" customHeight="1">
      <c r="A18" s="3" t="s">
        <v>749</v>
      </c>
      <c r="B18" s="3" t="s">
        <v>704</v>
      </c>
      <c r="C18" s="49">
        <v>3401</v>
      </c>
      <c r="D18" s="26" t="s">
        <v>751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6">
        <f>SUM(E18:P18)</f>
        <v>0</v>
      </c>
      <c r="S18" s="35"/>
      <c r="T18" s="40">
        <f t="shared" si="0"/>
        <v>0</v>
      </c>
    </row>
    <row r="19" spans="1:20" s="3" customFormat="1" ht="25.4" hidden="1" customHeight="1">
      <c r="A19" s="3" t="s">
        <v>749</v>
      </c>
      <c r="B19" s="3" t="s">
        <v>704</v>
      </c>
      <c r="C19" s="49"/>
      <c r="D19" s="26" t="s">
        <v>720</v>
      </c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6">
        <f t="shared" ref="Q19:Q33" si="2">SUM(E19:P19)</f>
        <v>0</v>
      </c>
      <c r="S19" s="35"/>
      <c r="T19" s="40">
        <f t="shared" si="0"/>
        <v>0</v>
      </c>
    </row>
    <row r="20" spans="1:20" s="3" customFormat="1" ht="25.4" hidden="1" customHeight="1">
      <c r="A20" s="3" t="s">
        <v>749</v>
      </c>
      <c r="B20" s="3" t="s">
        <v>704</v>
      </c>
      <c r="C20" s="49"/>
      <c r="D20" s="26" t="s">
        <v>722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6">
        <f t="shared" si="2"/>
        <v>0</v>
      </c>
      <c r="S20" s="35"/>
      <c r="T20" s="40">
        <f t="shared" si="0"/>
        <v>0</v>
      </c>
    </row>
    <row r="21" spans="1:20" s="3" customFormat="1" ht="25.4" hidden="1" customHeight="1">
      <c r="A21" s="3" t="s">
        <v>749</v>
      </c>
      <c r="B21" s="3" t="s">
        <v>704</v>
      </c>
      <c r="C21" s="49"/>
      <c r="D21" s="72" t="s">
        <v>724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6">
        <f t="shared" si="2"/>
        <v>0</v>
      </c>
      <c r="S21" s="35"/>
      <c r="T21" s="40">
        <f t="shared" si="0"/>
        <v>0</v>
      </c>
    </row>
    <row r="22" spans="1:20" s="3" customFormat="1" ht="25.4" hidden="1" customHeight="1">
      <c r="A22" s="3" t="s">
        <v>749</v>
      </c>
      <c r="B22" s="3" t="s">
        <v>704</v>
      </c>
      <c r="C22" s="49"/>
      <c r="D22" s="26" t="s">
        <v>752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6">
        <f t="shared" si="2"/>
        <v>0</v>
      </c>
      <c r="S22" s="35"/>
      <c r="T22" s="40">
        <f t="shared" si="0"/>
        <v>0</v>
      </c>
    </row>
    <row r="23" spans="1:20" s="3" customFormat="1" ht="25.4" hidden="1" customHeight="1">
      <c r="A23" s="3" t="s">
        <v>749</v>
      </c>
      <c r="B23" s="3" t="s">
        <v>704</v>
      </c>
      <c r="C23" s="49"/>
      <c r="D23" s="26" t="s">
        <v>728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6">
        <f t="shared" si="2"/>
        <v>0</v>
      </c>
      <c r="S23" s="35"/>
      <c r="T23" s="40">
        <f t="shared" si="0"/>
        <v>0</v>
      </c>
    </row>
    <row r="24" spans="1:20" s="3" customFormat="1" ht="25.4" hidden="1" customHeight="1">
      <c r="A24" s="3" t="s">
        <v>749</v>
      </c>
      <c r="B24" s="3" t="s">
        <v>704</v>
      </c>
      <c r="C24" s="49"/>
      <c r="D24" s="26" t="s">
        <v>730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6">
        <f t="shared" si="2"/>
        <v>0</v>
      </c>
      <c r="S24" s="35"/>
      <c r="T24" s="40">
        <f t="shared" si="0"/>
        <v>0</v>
      </c>
    </row>
    <row r="25" spans="1:20" s="3" customFormat="1" ht="25.4" hidden="1" customHeight="1">
      <c r="A25" s="3" t="s">
        <v>749</v>
      </c>
      <c r="B25" s="3" t="s">
        <v>704</v>
      </c>
      <c r="C25" s="49"/>
      <c r="D25" s="26" t="s">
        <v>732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6">
        <f t="shared" si="2"/>
        <v>0</v>
      </c>
      <c r="S25" s="35"/>
      <c r="T25" s="40">
        <f t="shared" si="0"/>
        <v>0</v>
      </c>
    </row>
    <row r="26" spans="1:20" s="3" customFormat="1" ht="25.4" hidden="1" customHeight="1">
      <c r="A26" s="3" t="s">
        <v>749</v>
      </c>
      <c r="B26" s="3" t="s">
        <v>704</v>
      </c>
      <c r="C26" s="49"/>
      <c r="D26" s="26" t="s">
        <v>734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6">
        <f t="shared" si="2"/>
        <v>0</v>
      </c>
      <c r="S26" s="35"/>
      <c r="T26" s="40">
        <f t="shared" si="0"/>
        <v>0</v>
      </c>
    </row>
    <row r="27" spans="1:20" s="3" customFormat="1" ht="25.4" hidden="1" customHeight="1">
      <c r="A27" s="3" t="s">
        <v>749</v>
      </c>
      <c r="B27" s="3" t="s">
        <v>704</v>
      </c>
      <c r="C27" s="49"/>
      <c r="D27" s="26" t="s">
        <v>736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6">
        <f t="shared" si="2"/>
        <v>0</v>
      </c>
      <c r="S27" s="35"/>
      <c r="T27" s="40">
        <f t="shared" si="0"/>
        <v>0</v>
      </c>
    </row>
    <row r="28" spans="1:20" s="3" customFormat="1" ht="25.4" hidden="1" customHeight="1">
      <c r="A28" s="3" t="s">
        <v>749</v>
      </c>
      <c r="B28" s="3" t="s">
        <v>704</v>
      </c>
      <c r="C28" s="49"/>
      <c r="D28" s="26" t="s">
        <v>753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6">
        <f t="shared" si="2"/>
        <v>0</v>
      </c>
      <c r="S28" s="35"/>
      <c r="T28" s="40">
        <f t="shared" si="0"/>
        <v>0</v>
      </c>
    </row>
    <row r="29" spans="1:20" s="3" customFormat="1" ht="25.4" hidden="1" customHeight="1">
      <c r="A29" s="3" t="s">
        <v>749</v>
      </c>
      <c r="B29" s="3" t="s">
        <v>704</v>
      </c>
      <c r="C29" s="49"/>
      <c r="D29" s="26" t="s">
        <v>738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6">
        <f t="shared" si="2"/>
        <v>0</v>
      </c>
      <c r="S29" s="35"/>
      <c r="T29" s="40">
        <f t="shared" si="0"/>
        <v>0</v>
      </c>
    </row>
    <row r="30" spans="1:20" s="3" customFormat="1" ht="25.4" hidden="1" customHeight="1">
      <c r="A30" s="3" t="s">
        <v>749</v>
      </c>
      <c r="B30" s="3" t="s">
        <v>704</v>
      </c>
      <c r="C30" s="49"/>
      <c r="D30" s="26" t="s">
        <v>740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6">
        <f t="shared" si="2"/>
        <v>0</v>
      </c>
      <c r="S30" s="35"/>
      <c r="T30" s="40">
        <f t="shared" si="0"/>
        <v>0</v>
      </c>
    </row>
    <row r="31" spans="1:20" s="3" customFormat="1" ht="25.4" hidden="1" customHeight="1">
      <c r="A31" s="3" t="s">
        <v>749</v>
      </c>
      <c r="B31" s="3" t="s">
        <v>704</v>
      </c>
      <c r="C31" s="49"/>
      <c r="D31" s="26" t="s">
        <v>742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6">
        <f t="shared" si="2"/>
        <v>0</v>
      </c>
      <c r="S31" s="35"/>
      <c r="T31" s="40">
        <f t="shared" si="0"/>
        <v>0</v>
      </c>
    </row>
    <row r="32" spans="1:20" s="3" customFormat="1" ht="25.4" hidden="1" customHeight="1">
      <c r="A32" s="3" t="s">
        <v>749</v>
      </c>
      <c r="B32" s="3" t="s">
        <v>704</v>
      </c>
      <c r="C32" s="49"/>
      <c r="D32" s="26" t="s">
        <v>744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6">
        <f t="shared" si="2"/>
        <v>0</v>
      </c>
      <c r="S32" s="35"/>
      <c r="T32" s="40">
        <f t="shared" si="0"/>
        <v>0</v>
      </c>
    </row>
    <row r="33" spans="1:20" s="3" customFormat="1" ht="25.4" customHeight="1">
      <c r="A33" s="3" t="s">
        <v>749</v>
      </c>
      <c r="B33" s="3" t="s">
        <v>704</v>
      </c>
      <c r="D33" s="26" t="s">
        <v>746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6">
        <f t="shared" si="2"/>
        <v>0</v>
      </c>
      <c r="S33" s="35"/>
      <c r="T33" s="40">
        <f>-IF(Q33-S33=0,0,(Q33-S33)/S33)</f>
        <v>0</v>
      </c>
    </row>
    <row r="34" spans="1:20" s="19" customFormat="1" ht="25.4" customHeight="1">
      <c r="A34" s="3" t="s">
        <v>754</v>
      </c>
      <c r="B34" s="3" t="s">
        <v>704</v>
      </c>
      <c r="C34" s="3"/>
      <c r="D34" s="21" t="s">
        <v>755</v>
      </c>
      <c r="E34" s="91">
        <f>SUM(E18:E33)</f>
        <v>0</v>
      </c>
      <c r="F34" s="91">
        <f t="shared" ref="F34:Q34" si="3">SUM(F18:F33)</f>
        <v>0</v>
      </c>
      <c r="G34" s="91">
        <f t="shared" si="3"/>
        <v>0</v>
      </c>
      <c r="H34" s="91">
        <f t="shared" si="3"/>
        <v>0</v>
      </c>
      <c r="I34" s="91">
        <f t="shared" si="3"/>
        <v>0</v>
      </c>
      <c r="J34" s="91">
        <f t="shared" si="3"/>
        <v>0</v>
      </c>
      <c r="K34" s="91">
        <f t="shared" si="3"/>
        <v>0</v>
      </c>
      <c r="L34" s="91">
        <f t="shared" si="3"/>
        <v>0</v>
      </c>
      <c r="M34" s="91">
        <f t="shared" si="3"/>
        <v>0</v>
      </c>
      <c r="N34" s="91">
        <f t="shared" si="3"/>
        <v>0</v>
      </c>
      <c r="O34" s="91">
        <f t="shared" si="3"/>
        <v>0</v>
      </c>
      <c r="P34" s="91">
        <f t="shared" si="3"/>
        <v>0</v>
      </c>
      <c r="Q34" s="91">
        <f t="shared" si="3"/>
        <v>0</v>
      </c>
      <c r="R34" s="3"/>
      <c r="S34" s="35"/>
      <c r="T34" s="40">
        <f t="shared" ref="T34:T35" si="4">-IF(Q34-S34=0,0,(Q34-S34)/S34)</f>
        <v>0</v>
      </c>
    </row>
    <row r="35" spans="1:20" s="19" customFormat="1" ht="25.4" customHeight="1">
      <c r="A35" s="19" t="s">
        <v>466</v>
      </c>
      <c r="B35" s="3" t="s">
        <v>704</v>
      </c>
      <c r="D35" s="19" t="s">
        <v>756</v>
      </c>
      <c r="E35" s="92">
        <f>E143</f>
        <v>0</v>
      </c>
      <c r="F35" s="92">
        <f t="shared" ref="F35:P35" si="5">F143</f>
        <v>0</v>
      </c>
      <c r="G35" s="92">
        <f t="shared" si="5"/>
        <v>0</v>
      </c>
      <c r="H35" s="92">
        <f t="shared" si="5"/>
        <v>0</v>
      </c>
      <c r="I35" s="92">
        <f t="shared" si="5"/>
        <v>0</v>
      </c>
      <c r="J35" s="92">
        <f t="shared" si="5"/>
        <v>0</v>
      </c>
      <c r="K35" s="92">
        <f t="shared" si="5"/>
        <v>0</v>
      </c>
      <c r="L35" s="92">
        <f t="shared" si="5"/>
        <v>0</v>
      </c>
      <c r="M35" s="92">
        <f t="shared" si="5"/>
        <v>0</v>
      </c>
      <c r="N35" s="92">
        <f t="shared" si="5"/>
        <v>0</v>
      </c>
      <c r="O35" s="92">
        <f t="shared" si="5"/>
        <v>0</v>
      </c>
      <c r="P35" s="92">
        <f t="shared" si="5"/>
        <v>0</v>
      </c>
      <c r="Q35" s="97">
        <f>SUM(E35:P35)</f>
        <v>0</v>
      </c>
      <c r="R35" s="39" t="e">
        <f>Q35/$Q$15</f>
        <v>#DIV/0!</v>
      </c>
      <c r="S35" s="35"/>
      <c r="T35" s="40">
        <f t="shared" si="4"/>
        <v>0</v>
      </c>
    </row>
    <row r="36" spans="1:20" s="19" customFormat="1" ht="25.4" customHeight="1">
      <c r="D36" s="26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6"/>
      <c r="R36" s="3"/>
      <c r="S36" s="35"/>
      <c r="T36" s="40"/>
    </row>
    <row r="37" spans="1:20" s="19" customFormat="1" ht="25.4" customHeight="1">
      <c r="D37" s="21" t="s">
        <v>757</v>
      </c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6"/>
      <c r="R37" s="3"/>
      <c r="S37" s="35"/>
      <c r="T37" s="40"/>
    </row>
    <row r="38" spans="1:20" s="19" customFormat="1" ht="25.4" hidden="1" customHeight="1">
      <c r="A38" s="19" t="s">
        <v>468</v>
      </c>
      <c r="B38" s="3" t="s">
        <v>704</v>
      </c>
      <c r="D38" s="26" t="s">
        <v>143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6">
        <f>SUM(E38:P38)</f>
        <v>0</v>
      </c>
      <c r="R38" s="3"/>
      <c r="S38" s="35"/>
      <c r="T38" s="40">
        <f t="shared" si="0"/>
        <v>0</v>
      </c>
    </row>
    <row r="39" spans="1:20" s="19" customFormat="1" ht="25.4" hidden="1" customHeight="1">
      <c r="A39" s="19" t="s">
        <v>470</v>
      </c>
      <c r="B39" s="3" t="s">
        <v>704</v>
      </c>
      <c r="D39" s="26" t="s">
        <v>145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6">
        <f t="shared" ref="Q39:Q102" si="6">SUM(E39:P39)</f>
        <v>0</v>
      </c>
      <c r="R39" s="3"/>
      <c r="S39" s="35"/>
      <c r="T39" s="40">
        <f t="shared" si="0"/>
        <v>0</v>
      </c>
    </row>
    <row r="40" spans="1:20" s="19" customFormat="1" ht="25.4" hidden="1" customHeight="1">
      <c r="A40" s="19" t="s">
        <v>472</v>
      </c>
      <c r="B40" s="3" t="s">
        <v>704</v>
      </c>
      <c r="D40" s="26" t="s">
        <v>147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6">
        <f t="shared" si="6"/>
        <v>0</v>
      </c>
      <c r="R40" s="3"/>
      <c r="S40" s="35"/>
      <c r="T40" s="40">
        <f t="shared" si="0"/>
        <v>0</v>
      </c>
    </row>
    <row r="41" spans="1:20" s="19" customFormat="1" ht="25.4" hidden="1" customHeight="1">
      <c r="A41" s="19" t="s">
        <v>474</v>
      </c>
      <c r="B41" s="3" t="s">
        <v>704</v>
      </c>
      <c r="D41" s="26" t="s">
        <v>149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0</v>
      </c>
      <c r="P41" s="90">
        <v>0</v>
      </c>
      <c r="Q41" s="96">
        <f t="shared" si="6"/>
        <v>0</v>
      </c>
      <c r="R41" s="3"/>
      <c r="S41" s="35"/>
      <c r="T41" s="40">
        <f t="shared" si="0"/>
        <v>0</v>
      </c>
    </row>
    <row r="42" spans="1:20" s="19" customFormat="1" ht="25.4" hidden="1" customHeight="1">
      <c r="A42" s="19" t="s">
        <v>476</v>
      </c>
      <c r="B42" s="3" t="s">
        <v>704</v>
      </c>
      <c r="D42" s="26" t="s">
        <v>151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6">
        <f t="shared" si="6"/>
        <v>0</v>
      </c>
      <c r="R42" s="3"/>
      <c r="S42" s="35"/>
      <c r="T42" s="40">
        <f t="shared" si="0"/>
        <v>0</v>
      </c>
    </row>
    <row r="43" spans="1:20" s="19" customFormat="1" ht="25.4" customHeight="1">
      <c r="A43" s="19" t="s">
        <v>478</v>
      </c>
      <c r="B43" s="3" t="s">
        <v>704</v>
      </c>
      <c r="D43" s="26" t="s">
        <v>153</v>
      </c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6">
        <f t="shared" si="6"/>
        <v>0</v>
      </c>
      <c r="R43" s="39" t="e">
        <f t="shared" ref="R43:R53" si="7">Q43/$Q$15</f>
        <v>#DIV/0!</v>
      </c>
      <c r="S43" s="35"/>
      <c r="T43" s="40">
        <f>-IF(S43&lt;&gt;0,(Q43-S43)/S43,1)</f>
        <v>-1</v>
      </c>
    </row>
    <row r="44" spans="1:20" s="19" customFormat="1" ht="25.4" hidden="1" customHeight="1">
      <c r="A44" s="19" t="s">
        <v>480</v>
      </c>
      <c r="B44" s="3" t="s">
        <v>704</v>
      </c>
      <c r="D44" s="26" t="s">
        <v>155</v>
      </c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6">
        <f t="shared" si="6"/>
        <v>0</v>
      </c>
      <c r="R44" s="39" t="e">
        <f t="shared" si="7"/>
        <v>#DIV/0!</v>
      </c>
      <c r="S44" s="35"/>
      <c r="T44" s="40">
        <f t="shared" ref="T44:T106" si="8">-IF(S44&lt;&gt;0,(Q44-S44)/S44,1)</f>
        <v>-1</v>
      </c>
    </row>
    <row r="45" spans="1:20" s="19" customFormat="1" ht="25.4" hidden="1" customHeight="1">
      <c r="A45" s="19" t="s">
        <v>482</v>
      </c>
      <c r="B45" s="3" t="s">
        <v>704</v>
      </c>
      <c r="D45" s="26" t="s">
        <v>157</v>
      </c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6">
        <f t="shared" si="6"/>
        <v>0</v>
      </c>
      <c r="R45" s="39" t="e">
        <f t="shared" si="7"/>
        <v>#DIV/0!</v>
      </c>
      <c r="S45" s="35"/>
      <c r="T45" s="40">
        <f t="shared" si="8"/>
        <v>-1</v>
      </c>
    </row>
    <row r="46" spans="1:20" s="19" customFormat="1" ht="25.4" customHeight="1">
      <c r="A46" s="19" t="s">
        <v>484</v>
      </c>
      <c r="B46" s="3" t="s">
        <v>704</v>
      </c>
      <c r="D46" s="26" t="s">
        <v>159</v>
      </c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6">
        <f t="shared" si="6"/>
        <v>0</v>
      </c>
      <c r="R46" s="39" t="e">
        <f t="shared" si="7"/>
        <v>#DIV/0!</v>
      </c>
      <c r="S46" s="35"/>
      <c r="T46" s="40">
        <f t="shared" si="8"/>
        <v>-1</v>
      </c>
    </row>
    <row r="47" spans="1:20" s="19" customFormat="1" ht="25.4" hidden="1" customHeight="1">
      <c r="A47" s="19" t="s">
        <v>486</v>
      </c>
      <c r="B47" s="3" t="s">
        <v>704</v>
      </c>
      <c r="D47" s="26" t="s">
        <v>161</v>
      </c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6">
        <f t="shared" si="6"/>
        <v>0</v>
      </c>
      <c r="R47" s="39" t="e">
        <f t="shared" si="7"/>
        <v>#DIV/0!</v>
      </c>
      <c r="S47" s="35"/>
      <c r="T47" s="40">
        <f t="shared" si="8"/>
        <v>-1</v>
      </c>
    </row>
    <row r="48" spans="1:20" s="19" customFormat="1" ht="25.4" hidden="1" customHeight="1">
      <c r="A48" s="19" t="s">
        <v>488</v>
      </c>
      <c r="B48" s="3" t="s">
        <v>704</v>
      </c>
      <c r="D48" s="26" t="s">
        <v>163</v>
      </c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6">
        <f t="shared" si="6"/>
        <v>0</v>
      </c>
      <c r="R48" s="39" t="e">
        <f t="shared" si="7"/>
        <v>#DIV/0!</v>
      </c>
      <c r="S48" s="35"/>
      <c r="T48" s="40">
        <f t="shared" si="8"/>
        <v>-1</v>
      </c>
    </row>
    <row r="49" spans="1:20" s="19" customFormat="1" ht="25.4" hidden="1" customHeight="1">
      <c r="A49" s="19" t="s">
        <v>490</v>
      </c>
      <c r="B49" s="3" t="s">
        <v>704</v>
      </c>
      <c r="D49" s="26" t="s">
        <v>165</v>
      </c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6">
        <f t="shared" si="6"/>
        <v>0</v>
      </c>
      <c r="R49" s="39" t="e">
        <f t="shared" si="7"/>
        <v>#DIV/0!</v>
      </c>
      <c r="S49" s="35"/>
      <c r="T49" s="40">
        <f t="shared" si="8"/>
        <v>-1</v>
      </c>
    </row>
    <row r="50" spans="1:20" s="19" customFormat="1" ht="25.4" hidden="1" customHeight="1">
      <c r="A50" s="19" t="s">
        <v>492</v>
      </c>
      <c r="B50" s="3" t="s">
        <v>704</v>
      </c>
      <c r="D50" s="26" t="s">
        <v>167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6">
        <f t="shared" si="6"/>
        <v>0</v>
      </c>
      <c r="R50" s="39" t="e">
        <f t="shared" si="7"/>
        <v>#DIV/0!</v>
      </c>
      <c r="S50" s="35"/>
      <c r="T50" s="40">
        <f t="shared" si="8"/>
        <v>-1</v>
      </c>
    </row>
    <row r="51" spans="1:20" s="19" customFormat="1" ht="25.4" hidden="1" customHeight="1">
      <c r="A51" s="19" t="s">
        <v>494</v>
      </c>
      <c r="B51" s="3" t="s">
        <v>704</v>
      </c>
      <c r="D51" s="26" t="s">
        <v>169</v>
      </c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6">
        <f t="shared" si="6"/>
        <v>0</v>
      </c>
      <c r="R51" s="39" t="e">
        <f t="shared" si="7"/>
        <v>#DIV/0!</v>
      </c>
      <c r="S51" s="35"/>
      <c r="T51" s="40">
        <f t="shared" si="8"/>
        <v>-1</v>
      </c>
    </row>
    <row r="52" spans="1:20" s="3" customFormat="1" ht="25.4" hidden="1" customHeight="1">
      <c r="A52" s="3" t="s">
        <v>496</v>
      </c>
      <c r="B52" s="3" t="s">
        <v>704</v>
      </c>
      <c r="D52" s="26" t="s">
        <v>171</v>
      </c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6">
        <f t="shared" si="6"/>
        <v>0</v>
      </c>
      <c r="R52" s="39" t="e">
        <f t="shared" si="7"/>
        <v>#DIV/0!</v>
      </c>
      <c r="S52" s="35"/>
      <c r="T52" s="40">
        <f t="shared" si="8"/>
        <v>-1</v>
      </c>
    </row>
    <row r="53" spans="1:20" s="3" customFormat="1" ht="25.4" customHeight="1">
      <c r="A53" s="3" t="s">
        <v>497</v>
      </c>
      <c r="B53" s="3" t="s">
        <v>704</v>
      </c>
      <c r="D53" s="26" t="s">
        <v>173</v>
      </c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6">
        <f t="shared" si="6"/>
        <v>0</v>
      </c>
      <c r="R53" s="39" t="e">
        <f t="shared" si="7"/>
        <v>#DIV/0!</v>
      </c>
      <c r="S53" s="35"/>
      <c r="T53" s="40">
        <f t="shared" si="8"/>
        <v>-1</v>
      </c>
    </row>
    <row r="54" spans="1:20" s="3" customFormat="1" ht="25.4" hidden="1" customHeight="1">
      <c r="A54" s="254" t="s">
        <v>498</v>
      </c>
      <c r="B54" s="3" t="s">
        <v>704</v>
      </c>
      <c r="D54" s="26" t="s">
        <v>175</v>
      </c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6">
        <f t="shared" si="6"/>
        <v>0</v>
      </c>
      <c r="S54" s="35"/>
      <c r="T54" s="40">
        <f t="shared" si="8"/>
        <v>-1</v>
      </c>
    </row>
    <row r="55" spans="1:20" s="3" customFormat="1" ht="25.4" hidden="1" customHeight="1">
      <c r="A55" s="254" t="s">
        <v>500</v>
      </c>
      <c r="B55" s="3" t="s">
        <v>704</v>
      </c>
      <c r="D55" s="26" t="s">
        <v>177</v>
      </c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6">
        <f t="shared" si="6"/>
        <v>0</v>
      </c>
      <c r="S55" s="35"/>
      <c r="T55" s="40">
        <f t="shared" si="8"/>
        <v>-1</v>
      </c>
    </row>
    <row r="56" spans="1:20" s="3" customFormat="1" ht="25.4" hidden="1" customHeight="1">
      <c r="A56" s="3" t="s">
        <v>502</v>
      </c>
      <c r="B56" s="3" t="s">
        <v>704</v>
      </c>
      <c r="D56" s="26" t="s">
        <v>179</v>
      </c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6">
        <f t="shared" si="6"/>
        <v>0</v>
      </c>
      <c r="S56" s="35"/>
      <c r="T56" s="40">
        <f t="shared" si="8"/>
        <v>-1</v>
      </c>
    </row>
    <row r="57" spans="1:20" s="3" customFormat="1" ht="25.4" hidden="1" customHeight="1">
      <c r="A57" s="3" t="s">
        <v>504</v>
      </c>
      <c r="B57" s="3" t="s">
        <v>704</v>
      </c>
      <c r="D57" s="26" t="s">
        <v>181</v>
      </c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6">
        <f t="shared" si="6"/>
        <v>0</v>
      </c>
      <c r="S57" s="35"/>
      <c r="T57" s="40">
        <f t="shared" si="8"/>
        <v>-1</v>
      </c>
    </row>
    <row r="58" spans="1:20" s="3" customFormat="1" ht="25.4" customHeight="1">
      <c r="A58" s="254" t="s">
        <v>506</v>
      </c>
      <c r="B58" s="3" t="s">
        <v>704</v>
      </c>
      <c r="D58" s="26" t="s">
        <v>183</v>
      </c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6">
        <f t="shared" si="6"/>
        <v>0</v>
      </c>
      <c r="R58" s="39" t="e">
        <f t="shared" ref="R58:R107" si="9">Q58/$Q$15</f>
        <v>#DIV/0!</v>
      </c>
      <c r="S58" s="35"/>
      <c r="T58" s="40">
        <f t="shared" si="8"/>
        <v>-1</v>
      </c>
    </row>
    <row r="59" spans="1:20" s="3" customFormat="1" ht="25.4" hidden="1" customHeight="1">
      <c r="A59" s="54" t="s">
        <v>508</v>
      </c>
      <c r="B59" s="3" t="s">
        <v>704</v>
      </c>
      <c r="D59" s="26" t="s">
        <v>185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6">
        <f t="shared" si="6"/>
        <v>0</v>
      </c>
      <c r="R59" s="39" t="e">
        <f t="shared" si="9"/>
        <v>#DIV/0!</v>
      </c>
      <c r="S59" s="35"/>
      <c r="T59" s="40">
        <f t="shared" si="8"/>
        <v>-1</v>
      </c>
    </row>
    <row r="60" spans="1:20" s="3" customFormat="1" ht="25.4" hidden="1" customHeight="1">
      <c r="A60" s="254" t="s">
        <v>510</v>
      </c>
      <c r="B60" s="3" t="s">
        <v>704</v>
      </c>
      <c r="D60" s="26" t="s">
        <v>187</v>
      </c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6">
        <f t="shared" si="6"/>
        <v>0</v>
      </c>
      <c r="R60" s="39" t="e">
        <f t="shared" si="9"/>
        <v>#DIV/0!</v>
      </c>
      <c r="S60" s="35"/>
      <c r="T60" s="40">
        <f t="shared" si="8"/>
        <v>-1</v>
      </c>
    </row>
    <row r="61" spans="1:20" s="3" customFormat="1" ht="25.4" hidden="1" customHeight="1">
      <c r="A61" s="254" t="s">
        <v>512</v>
      </c>
      <c r="B61" s="3" t="s">
        <v>704</v>
      </c>
      <c r="D61" s="26" t="s">
        <v>189</v>
      </c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6">
        <f t="shared" si="6"/>
        <v>0</v>
      </c>
      <c r="R61" s="39" t="e">
        <f t="shared" si="9"/>
        <v>#DIV/0!</v>
      </c>
      <c r="S61" s="35"/>
      <c r="T61" s="40">
        <f t="shared" si="8"/>
        <v>-1</v>
      </c>
    </row>
    <row r="62" spans="1:20" s="3" customFormat="1" ht="25.4" hidden="1" customHeight="1">
      <c r="A62" s="254" t="s">
        <v>514</v>
      </c>
      <c r="B62" s="3" t="s">
        <v>704</v>
      </c>
      <c r="D62" s="26" t="s">
        <v>191</v>
      </c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6">
        <f t="shared" si="6"/>
        <v>0</v>
      </c>
      <c r="R62" s="39" t="e">
        <f t="shared" si="9"/>
        <v>#DIV/0!</v>
      </c>
      <c r="S62" s="35"/>
      <c r="T62" s="40">
        <f t="shared" si="8"/>
        <v>-1</v>
      </c>
    </row>
    <row r="63" spans="1:20" s="19" customFormat="1" ht="25.4" hidden="1" customHeight="1">
      <c r="A63" s="254" t="s">
        <v>516</v>
      </c>
      <c r="B63" s="3" t="s">
        <v>704</v>
      </c>
      <c r="D63" s="26" t="s">
        <v>193</v>
      </c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6">
        <f t="shared" si="6"/>
        <v>0</v>
      </c>
      <c r="R63" s="39" t="e">
        <f t="shared" si="9"/>
        <v>#DIV/0!</v>
      </c>
      <c r="S63" s="35"/>
      <c r="T63" s="40">
        <f t="shared" si="8"/>
        <v>-1</v>
      </c>
    </row>
    <row r="64" spans="1:20" s="3" customFormat="1" ht="25.4" hidden="1" customHeight="1">
      <c r="A64" s="50" t="s">
        <v>518</v>
      </c>
      <c r="B64" s="3" t="s">
        <v>704</v>
      </c>
      <c r="D64" s="26" t="s">
        <v>195</v>
      </c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6">
        <f t="shared" si="6"/>
        <v>0</v>
      </c>
      <c r="R64" s="39" t="e">
        <f t="shared" si="9"/>
        <v>#DIV/0!</v>
      </c>
      <c r="S64" s="35"/>
      <c r="T64" s="40">
        <f t="shared" si="8"/>
        <v>-1</v>
      </c>
    </row>
    <row r="65" spans="1:20" s="3" customFormat="1" ht="25.4" hidden="1" customHeight="1">
      <c r="A65" s="254" t="s">
        <v>520</v>
      </c>
      <c r="B65" s="3" t="s">
        <v>704</v>
      </c>
      <c r="D65" s="26" t="s">
        <v>197</v>
      </c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6">
        <f t="shared" si="6"/>
        <v>0</v>
      </c>
      <c r="R65" s="39" t="e">
        <f t="shared" si="9"/>
        <v>#DIV/0!</v>
      </c>
      <c r="S65" s="35"/>
      <c r="T65" s="40">
        <f t="shared" si="8"/>
        <v>-1</v>
      </c>
    </row>
    <row r="66" spans="1:20" s="3" customFormat="1" ht="25.4" customHeight="1">
      <c r="A66" s="254" t="s">
        <v>522</v>
      </c>
      <c r="B66" s="3" t="s">
        <v>704</v>
      </c>
      <c r="D66" s="26" t="s">
        <v>199</v>
      </c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6">
        <f t="shared" si="6"/>
        <v>0</v>
      </c>
      <c r="R66" s="39" t="e">
        <f t="shared" si="9"/>
        <v>#DIV/0!</v>
      </c>
      <c r="S66" s="35"/>
      <c r="T66" s="40">
        <f t="shared" si="8"/>
        <v>-1</v>
      </c>
    </row>
    <row r="67" spans="1:20" s="3" customFormat="1" ht="25.4" hidden="1" customHeight="1">
      <c r="A67" s="254" t="s">
        <v>524</v>
      </c>
      <c r="B67" s="3" t="s">
        <v>704</v>
      </c>
      <c r="D67" s="26" t="s">
        <v>201</v>
      </c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6">
        <f t="shared" si="6"/>
        <v>0</v>
      </c>
      <c r="R67" s="39" t="e">
        <f t="shared" si="9"/>
        <v>#DIV/0!</v>
      </c>
      <c r="S67" s="35"/>
      <c r="T67" s="40">
        <f t="shared" si="8"/>
        <v>-1</v>
      </c>
    </row>
    <row r="68" spans="1:20" s="3" customFormat="1" ht="25.4" hidden="1" customHeight="1">
      <c r="A68" s="254" t="s">
        <v>526</v>
      </c>
      <c r="B68" s="3" t="s">
        <v>704</v>
      </c>
      <c r="D68" s="26" t="s">
        <v>203</v>
      </c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6">
        <f t="shared" si="6"/>
        <v>0</v>
      </c>
      <c r="R68" s="39" t="e">
        <f t="shared" si="9"/>
        <v>#DIV/0!</v>
      </c>
      <c r="S68" s="35"/>
      <c r="T68" s="40">
        <f t="shared" si="8"/>
        <v>-1</v>
      </c>
    </row>
    <row r="69" spans="1:20" s="3" customFormat="1" ht="25.4" hidden="1" customHeight="1">
      <c r="A69" s="254" t="s">
        <v>528</v>
      </c>
      <c r="B69" s="3" t="s">
        <v>704</v>
      </c>
      <c r="D69" s="26" t="s">
        <v>205</v>
      </c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6">
        <f t="shared" si="6"/>
        <v>0</v>
      </c>
      <c r="R69" s="39" t="e">
        <f t="shared" si="9"/>
        <v>#DIV/0!</v>
      </c>
      <c r="S69" s="35"/>
      <c r="T69" s="40">
        <f t="shared" si="8"/>
        <v>-1</v>
      </c>
    </row>
    <row r="70" spans="1:20" s="3" customFormat="1" ht="25.4" hidden="1" customHeight="1">
      <c r="A70" s="254" t="s">
        <v>530</v>
      </c>
      <c r="B70" s="3" t="s">
        <v>704</v>
      </c>
      <c r="D70" s="26" t="s">
        <v>207</v>
      </c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6">
        <f t="shared" si="6"/>
        <v>0</v>
      </c>
      <c r="R70" s="39" t="e">
        <f t="shared" si="9"/>
        <v>#DIV/0!</v>
      </c>
      <c r="S70" s="35"/>
      <c r="T70" s="40">
        <f t="shared" si="8"/>
        <v>-1</v>
      </c>
    </row>
    <row r="71" spans="1:20" s="3" customFormat="1" ht="25.4" hidden="1" customHeight="1">
      <c r="A71" s="254" t="s">
        <v>532</v>
      </c>
      <c r="B71" s="3" t="s">
        <v>704</v>
      </c>
      <c r="D71" s="26" t="s">
        <v>209</v>
      </c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6">
        <f t="shared" si="6"/>
        <v>0</v>
      </c>
      <c r="R71" s="39" t="e">
        <f t="shared" si="9"/>
        <v>#DIV/0!</v>
      </c>
      <c r="S71" s="35"/>
      <c r="T71" s="40">
        <f t="shared" si="8"/>
        <v>-1</v>
      </c>
    </row>
    <row r="72" spans="1:20" s="3" customFormat="1" ht="25.4" hidden="1" customHeight="1">
      <c r="A72" s="254" t="s">
        <v>534</v>
      </c>
      <c r="B72" s="3" t="s">
        <v>704</v>
      </c>
      <c r="D72" s="26" t="s">
        <v>211</v>
      </c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6">
        <f t="shared" si="6"/>
        <v>0</v>
      </c>
      <c r="R72" s="39" t="e">
        <f t="shared" si="9"/>
        <v>#DIV/0!</v>
      </c>
      <c r="S72" s="35"/>
      <c r="T72" s="40">
        <f t="shared" si="8"/>
        <v>-1</v>
      </c>
    </row>
    <row r="73" spans="1:20" s="19" customFormat="1" ht="25.4" customHeight="1">
      <c r="A73" s="254" t="s">
        <v>536</v>
      </c>
      <c r="B73" s="3" t="s">
        <v>704</v>
      </c>
      <c r="D73" s="26" t="s">
        <v>213</v>
      </c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6">
        <f t="shared" si="6"/>
        <v>0</v>
      </c>
      <c r="R73" s="39" t="e">
        <f t="shared" si="9"/>
        <v>#DIV/0!</v>
      </c>
      <c r="S73" s="35"/>
      <c r="T73" s="40">
        <f t="shared" si="8"/>
        <v>-1</v>
      </c>
    </row>
    <row r="74" spans="1:20" s="19" customFormat="1" ht="25.4" hidden="1" customHeight="1">
      <c r="A74" s="254" t="s">
        <v>538</v>
      </c>
      <c r="B74" s="3" t="s">
        <v>704</v>
      </c>
      <c r="D74" s="26" t="s">
        <v>215</v>
      </c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6">
        <f t="shared" si="6"/>
        <v>0</v>
      </c>
      <c r="R74" s="39" t="e">
        <f t="shared" si="9"/>
        <v>#DIV/0!</v>
      </c>
      <c r="S74" s="35"/>
      <c r="T74" s="40">
        <f t="shared" si="8"/>
        <v>-1</v>
      </c>
    </row>
    <row r="75" spans="1:20" s="3" customFormat="1" ht="25.4" hidden="1" customHeight="1">
      <c r="A75" s="3" t="s">
        <v>540</v>
      </c>
      <c r="B75" s="3" t="s">
        <v>704</v>
      </c>
      <c r="D75" s="26" t="s">
        <v>217</v>
      </c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6">
        <f t="shared" si="6"/>
        <v>0</v>
      </c>
      <c r="R75" s="39" t="e">
        <f t="shared" si="9"/>
        <v>#DIV/0!</v>
      </c>
      <c r="S75" s="35"/>
      <c r="T75" s="40">
        <f t="shared" si="8"/>
        <v>-1</v>
      </c>
    </row>
    <row r="76" spans="1:20" s="3" customFormat="1" ht="25.4" hidden="1" customHeight="1">
      <c r="A76" s="3" t="s">
        <v>542</v>
      </c>
      <c r="B76" s="3" t="s">
        <v>704</v>
      </c>
      <c r="D76" s="26" t="s">
        <v>219</v>
      </c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6">
        <f t="shared" si="6"/>
        <v>0</v>
      </c>
      <c r="R76" s="39" t="e">
        <f t="shared" si="9"/>
        <v>#DIV/0!</v>
      </c>
      <c r="S76" s="35"/>
      <c r="T76" s="40">
        <f t="shared" si="8"/>
        <v>-1</v>
      </c>
    </row>
    <row r="77" spans="1:20" s="3" customFormat="1" ht="25.4" hidden="1" customHeight="1">
      <c r="A77" s="3" t="s">
        <v>544</v>
      </c>
      <c r="B77" s="3" t="s">
        <v>704</v>
      </c>
      <c r="D77" s="26" t="s">
        <v>221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6">
        <f t="shared" si="6"/>
        <v>0</v>
      </c>
      <c r="R77" s="39" t="e">
        <f t="shared" si="9"/>
        <v>#DIV/0!</v>
      </c>
      <c r="S77" s="35"/>
      <c r="T77" s="40">
        <f t="shared" si="8"/>
        <v>-1</v>
      </c>
    </row>
    <row r="78" spans="1:20" s="3" customFormat="1" ht="25.4" hidden="1" customHeight="1">
      <c r="A78" s="3" t="s">
        <v>546</v>
      </c>
      <c r="B78" s="3" t="s">
        <v>704</v>
      </c>
      <c r="D78" s="26" t="s">
        <v>223</v>
      </c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6">
        <f t="shared" si="6"/>
        <v>0</v>
      </c>
      <c r="R78" s="39" t="e">
        <f t="shared" si="9"/>
        <v>#DIV/0!</v>
      </c>
      <c r="S78" s="35"/>
      <c r="T78" s="40">
        <f t="shared" si="8"/>
        <v>-1</v>
      </c>
    </row>
    <row r="79" spans="1:20" s="3" customFormat="1" ht="25.4" hidden="1" customHeight="1">
      <c r="A79" s="3" t="s">
        <v>548</v>
      </c>
      <c r="B79" s="3" t="s">
        <v>704</v>
      </c>
      <c r="D79" s="26" t="s">
        <v>225</v>
      </c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6">
        <f t="shared" si="6"/>
        <v>0</v>
      </c>
      <c r="R79" s="39" t="e">
        <f t="shared" si="9"/>
        <v>#DIV/0!</v>
      </c>
      <c r="S79" s="35"/>
      <c r="T79" s="40">
        <f t="shared" si="8"/>
        <v>-1</v>
      </c>
    </row>
    <row r="80" spans="1:20" s="3" customFormat="1" ht="25.4" hidden="1" customHeight="1">
      <c r="A80" s="3" t="s">
        <v>550</v>
      </c>
      <c r="B80" s="3" t="s">
        <v>704</v>
      </c>
      <c r="D80" s="26" t="s">
        <v>227</v>
      </c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6">
        <f t="shared" si="6"/>
        <v>0</v>
      </c>
      <c r="R80" s="39" t="e">
        <f t="shared" si="9"/>
        <v>#DIV/0!</v>
      </c>
      <c r="S80" s="35"/>
      <c r="T80" s="40">
        <f t="shared" si="8"/>
        <v>-1</v>
      </c>
    </row>
    <row r="81" spans="1:20" s="3" customFormat="1" ht="25.4" hidden="1" customHeight="1">
      <c r="A81" s="3" t="s">
        <v>552</v>
      </c>
      <c r="B81" s="3" t="s">
        <v>704</v>
      </c>
      <c r="D81" s="26" t="s">
        <v>229</v>
      </c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6">
        <f t="shared" si="6"/>
        <v>0</v>
      </c>
      <c r="R81" s="39" t="e">
        <f t="shared" si="9"/>
        <v>#DIV/0!</v>
      </c>
      <c r="S81" s="35"/>
      <c r="T81" s="40">
        <f t="shared" si="8"/>
        <v>-1</v>
      </c>
    </row>
    <row r="82" spans="1:20" s="3" customFormat="1" ht="25.4" hidden="1" customHeight="1">
      <c r="A82" s="3" t="s">
        <v>554</v>
      </c>
      <c r="B82" s="3" t="s">
        <v>704</v>
      </c>
      <c r="D82" s="26" t="s">
        <v>231</v>
      </c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6">
        <f t="shared" si="6"/>
        <v>0</v>
      </c>
      <c r="R82" s="39" t="e">
        <f t="shared" si="9"/>
        <v>#DIV/0!</v>
      </c>
      <c r="S82" s="35"/>
      <c r="T82" s="40">
        <f t="shared" si="8"/>
        <v>-1</v>
      </c>
    </row>
    <row r="83" spans="1:20" s="3" customFormat="1" ht="25.4" hidden="1" customHeight="1">
      <c r="A83" s="254" t="s">
        <v>556</v>
      </c>
      <c r="B83" s="3" t="s">
        <v>704</v>
      </c>
      <c r="D83" s="26" t="s">
        <v>233</v>
      </c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6">
        <f t="shared" si="6"/>
        <v>0</v>
      </c>
      <c r="R83" s="39" t="e">
        <f t="shared" si="9"/>
        <v>#DIV/0!</v>
      </c>
      <c r="S83" s="35"/>
      <c r="T83" s="40">
        <f t="shared" si="8"/>
        <v>-1</v>
      </c>
    </row>
    <row r="84" spans="1:20" s="3" customFormat="1" ht="25.4" hidden="1" customHeight="1">
      <c r="A84" s="254" t="s">
        <v>558</v>
      </c>
      <c r="B84" s="3" t="s">
        <v>704</v>
      </c>
      <c r="D84" s="26" t="s">
        <v>235</v>
      </c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6">
        <f t="shared" si="6"/>
        <v>0</v>
      </c>
      <c r="R84" s="39" t="e">
        <f t="shared" si="9"/>
        <v>#DIV/0!</v>
      </c>
      <c r="S84" s="35"/>
      <c r="T84" s="40">
        <f t="shared" si="8"/>
        <v>-1</v>
      </c>
    </row>
    <row r="85" spans="1:20" s="3" customFormat="1" ht="25.4" hidden="1" customHeight="1">
      <c r="A85" s="254" t="s">
        <v>422</v>
      </c>
      <c r="B85" s="3" t="s">
        <v>704</v>
      </c>
      <c r="D85" s="26" t="s">
        <v>423</v>
      </c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6">
        <f t="shared" si="6"/>
        <v>0</v>
      </c>
      <c r="R85" s="39" t="e">
        <f t="shared" si="9"/>
        <v>#DIV/0!</v>
      </c>
      <c r="S85" s="35"/>
      <c r="T85" s="40">
        <f t="shared" si="8"/>
        <v>-1</v>
      </c>
    </row>
    <row r="86" spans="1:20" ht="26.25" hidden="1" customHeight="1">
      <c r="A86" s="5" t="s">
        <v>560</v>
      </c>
      <c r="B86" s="3" t="s">
        <v>704</v>
      </c>
      <c r="D86" s="26" t="s">
        <v>237</v>
      </c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6">
        <f t="shared" si="6"/>
        <v>0</v>
      </c>
      <c r="R86" s="39" t="e">
        <f t="shared" si="9"/>
        <v>#DIV/0!</v>
      </c>
      <c r="S86" s="35"/>
      <c r="T86" s="40">
        <f t="shared" si="8"/>
        <v>-1</v>
      </c>
    </row>
    <row r="87" spans="1:20" ht="26.25" hidden="1" customHeight="1">
      <c r="A87" s="5" t="s">
        <v>562</v>
      </c>
      <c r="B87" s="3" t="s">
        <v>704</v>
      </c>
      <c r="D87" s="26" t="s">
        <v>239</v>
      </c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6">
        <f t="shared" si="6"/>
        <v>0</v>
      </c>
      <c r="R87" s="39" t="e">
        <f t="shared" si="9"/>
        <v>#DIV/0!</v>
      </c>
      <c r="S87" s="35"/>
      <c r="T87" s="40">
        <f t="shared" si="8"/>
        <v>-1</v>
      </c>
    </row>
    <row r="88" spans="1:20" ht="26.25" hidden="1" customHeight="1">
      <c r="A88" s="5" t="s">
        <v>564</v>
      </c>
      <c r="B88" s="3" t="s">
        <v>704</v>
      </c>
      <c r="D88" s="26" t="s">
        <v>241</v>
      </c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6">
        <f t="shared" si="6"/>
        <v>0</v>
      </c>
      <c r="R88" s="39" t="e">
        <f t="shared" si="9"/>
        <v>#DIV/0!</v>
      </c>
      <c r="S88" s="35"/>
      <c r="T88" s="40">
        <f t="shared" si="8"/>
        <v>-1</v>
      </c>
    </row>
    <row r="89" spans="1:20" ht="26.25" hidden="1" customHeight="1">
      <c r="A89" s="5" t="s">
        <v>566</v>
      </c>
      <c r="B89" s="3" t="s">
        <v>704</v>
      </c>
      <c r="D89" s="26" t="s">
        <v>243</v>
      </c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6">
        <f t="shared" si="6"/>
        <v>0</v>
      </c>
      <c r="R89" s="39" t="e">
        <f t="shared" si="9"/>
        <v>#DIV/0!</v>
      </c>
      <c r="S89" s="35"/>
      <c r="T89" s="40">
        <f t="shared" si="8"/>
        <v>-1</v>
      </c>
    </row>
    <row r="90" spans="1:20" ht="26.25" hidden="1" customHeight="1">
      <c r="A90" s="5" t="s">
        <v>568</v>
      </c>
      <c r="B90" s="3" t="s">
        <v>704</v>
      </c>
      <c r="D90" s="26" t="s">
        <v>245</v>
      </c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6">
        <f t="shared" si="6"/>
        <v>0</v>
      </c>
      <c r="R90" s="39" t="e">
        <f t="shared" si="9"/>
        <v>#DIV/0!</v>
      </c>
      <c r="S90" s="35"/>
      <c r="T90" s="40">
        <f t="shared" si="8"/>
        <v>-1</v>
      </c>
    </row>
    <row r="91" spans="1:20" ht="26.25" hidden="1" customHeight="1">
      <c r="A91" s="5" t="s">
        <v>570</v>
      </c>
      <c r="B91" s="3" t="s">
        <v>704</v>
      </c>
      <c r="D91" s="26" t="s">
        <v>247</v>
      </c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6">
        <f t="shared" si="6"/>
        <v>0</v>
      </c>
      <c r="R91" s="39" t="e">
        <f t="shared" si="9"/>
        <v>#DIV/0!</v>
      </c>
      <c r="S91" s="35"/>
      <c r="T91" s="40">
        <f t="shared" si="8"/>
        <v>-1</v>
      </c>
    </row>
    <row r="92" spans="1:20" ht="26.25" customHeight="1">
      <c r="A92" s="5" t="s">
        <v>572</v>
      </c>
      <c r="B92" s="3" t="s">
        <v>704</v>
      </c>
      <c r="D92" s="26" t="s">
        <v>249</v>
      </c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6">
        <f t="shared" si="6"/>
        <v>0</v>
      </c>
      <c r="R92" s="39" t="e">
        <f t="shared" si="9"/>
        <v>#DIV/0!</v>
      </c>
      <c r="S92" s="35"/>
      <c r="T92" s="40">
        <f t="shared" si="8"/>
        <v>-1</v>
      </c>
    </row>
    <row r="93" spans="1:20" ht="26.25" customHeight="1">
      <c r="A93" s="5" t="s">
        <v>574</v>
      </c>
      <c r="B93" s="3" t="s">
        <v>704</v>
      </c>
      <c r="D93" s="26" t="s">
        <v>251</v>
      </c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6">
        <f t="shared" si="6"/>
        <v>0</v>
      </c>
      <c r="R93" s="39" t="e">
        <f t="shared" si="9"/>
        <v>#DIV/0!</v>
      </c>
      <c r="S93" s="35"/>
      <c r="T93" s="40">
        <f t="shared" si="8"/>
        <v>-1</v>
      </c>
    </row>
    <row r="94" spans="1:20" ht="26.25" customHeight="1">
      <c r="A94" s="5" t="s">
        <v>576</v>
      </c>
      <c r="B94" s="3" t="s">
        <v>704</v>
      </c>
      <c r="D94" s="26" t="s">
        <v>253</v>
      </c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6">
        <f t="shared" si="6"/>
        <v>0</v>
      </c>
      <c r="R94" s="39" t="e">
        <f t="shared" si="9"/>
        <v>#DIV/0!</v>
      </c>
      <c r="S94" s="35"/>
      <c r="T94" s="40">
        <f t="shared" si="8"/>
        <v>-1</v>
      </c>
    </row>
    <row r="95" spans="1:20" ht="26.25" hidden="1" customHeight="1">
      <c r="A95" s="5" t="s">
        <v>578</v>
      </c>
      <c r="B95" s="3" t="s">
        <v>704</v>
      </c>
      <c r="D95" s="26" t="s">
        <v>255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6">
        <f t="shared" si="6"/>
        <v>0</v>
      </c>
      <c r="R95" s="39" t="e">
        <f t="shared" si="9"/>
        <v>#DIV/0!</v>
      </c>
      <c r="S95" s="35"/>
      <c r="T95" s="40">
        <f t="shared" si="8"/>
        <v>-1</v>
      </c>
    </row>
    <row r="96" spans="1:20" ht="26.25" customHeight="1">
      <c r="A96" s="5" t="s">
        <v>580</v>
      </c>
      <c r="B96" s="3" t="s">
        <v>704</v>
      </c>
      <c r="D96" s="26" t="s">
        <v>257</v>
      </c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6">
        <f t="shared" si="6"/>
        <v>0</v>
      </c>
      <c r="R96" s="39" t="e">
        <f t="shared" si="9"/>
        <v>#DIV/0!</v>
      </c>
      <c r="S96" s="35"/>
      <c r="T96" s="40">
        <f t="shared" si="8"/>
        <v>-1</v>
      </c>
    </row>
    <row r="97" spans="1:20" ht="26.25" customHeight="1">
      <c r="A97" s="5" t="s">
        <v>582</v>
      </c>
      <c r="B97" s="3" t="s">
        <v>704</v>
      </c>
      <c r="D97" s="26" t="s">
        <v>259</v>
      </c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6">
        <f t="shared" si="6"/>
        <v>0</v>
      </c>
      <c r="R97" s="39" t="e">
        <f t="shared" si="9"/>
        <v>#DIV/0!</v>
      </c>
      <c r="S97" s="35"/>
      <c r="T97" s="40">
        <f t="shared" si="8"/>
        <v>-1</v>
      </c>
    </row>
    <row r="98" spans="1:20" ht="26.25" hidden="1" customHeight="1">
      <c r="A98" s="5" t="s">
        <v>584</v>
      </c>
      <c r="B98" s="3" t="s">
        <v>704</v>
      </c>
      <c r="D98" s="26" t="s">
        <v>261</v>
      </c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6">
        <f t="shared" si="6"/>
        <v>0</v>
      </c>
      <c r="R98" s="39" t="e">
        <f t="shared" si="9"/>
        <v>#DIV/0!</v>
      </c>
      <c r="S98" s="35"/>
      <c r="T98" s="40">
        <f t="shared" si="8"/>
        <v>-1</v>
      </c>
    </row>
    <row r="99" spans="1:20" ht="26.25" hidden="1" customHeight="1">
      <c r="A99" s="5" t="s">
        <v>586</v>
      </c>
      <c r="B99" s="3" t="s">
        <v>704</v>
      </c>
      <c r="D99" s="26" t="s">
        <v>263</v>
      </c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6">
        <f t="shared" si="6"/>
        <v>0</v>
      </c>
      <c r="R99" s="39" t="e">
        <f t="shared" si="9"/>
        <v>#DIV/0!</v>
      </c>
      <c r="S99" s="35"/>
      <c r="T99" s="40">
        <f t="shared" si="8"/>
        <v>-1</v>
      </c>
    </row>
    <row r="100" spans="1:20" ht="26.25" hidden="1" customHeight="1">
      <c r="A100" s="5" t="s">
        <v>588</v>
      </c>
      <c r="B100" s="3" t="s">
        <v>704</v>
      </c>
      <c r="D100" s="26" t="s">
        <v>265</v>
      </c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6">
        <f t="shared" si="6"/>
        <v>0</v>
      </c>
      <c r="R100" s="39" t="e">
        <f t="shared" si="9"/>
        <v>#DIV/0!</v>
      </c>
      <c r="S100" s="35"/>
      <c r="T100" s="40">
        <f t="shared" si="8"/>
        <v>-1</v>
      </c>
    </row>
    <row r="101" spans="1:20" ht="26.25" hidden="1" customHeight="1">
      <c r="A101" s="5" t="s">
        <v>590</v>
      </c>
      <c r="B101" s="3" t="s">
        <v>704</v>
      </c>
      <c r="D101" s="26" t="s">
        <v>267</v>
      </c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6">
        <f t="shared" si="6"/>
        <v>0</v>
      </c>
      <c r="R101" s="39" t="e">
        <f t="shared" si="9"/>
        <v>#DIV/0!</v>
      </c>
      <c r="S101" s="35"/>
      <c r="T101" s="40">
        <f t="shared" si="8"/>
        <v>-1</v>
      </c>
    </row>
    <row r="102" spans="1:20" ht="26.25" hidden="1" customHeight="1">
      <c r="A102" s="5" t="s">
        <v>592</v>
      </c>
      <c r="B102" s="3" t="s">
        <v>704</v>
      </c>
      <c r="D102" s="26" t="s">
        <v>269</v>
      </c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6">
        <f t="shared" si="6"/>
        <v>0</v>
      </c>
      <c r="R102" s="39" t="e">
        <f t="shared" si="9"/>
        <v>#DIV/0!</v>
      </c>
      <c r="S102" s="35"/>
      <c r="T102" s="40">
        <f t="shared" si="8"/>
        <v>-1</v>
      </c>
    </row>
    <row r="103" spans="1:20" ht="26.25" hidden="1" customHeight="1">
      <c r="A103" s="5" t="s">
        <v>270</v>
      </c>
      <c r="B103" s="3" t="s">
        <v>704</v>
      </c>
      <c r="D103" s="26" t="s">
        <v>271</v>
      </c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6">
        <f t="shared" ref="Q103:Q105" si="10">SUM(E103:P103)</f>
        <v>0</v>
      </c>
      <c r="R103" s="39" t="e">
        <f t="shared" si="9"/>
        <v>#DIV/0!</v>
      </c>
      <c r="S103" s="35"/>
      <c r="T103" s="40">
        <f t="shared" si="8"/>
        <v>-1</v>
      </c>
    </row>
    <row r="104" spans="1:20" ht="26.25" hidden="1" customHeight="1">
      <c r="A104" s="5" t="s">
        <v>272</v>
      </c>
      <c r="B104" s="3" t="s">
        <v>704</v>
      </c>
      <c r="D104" s="26" t="s">
        <v>273</v>
      </c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6">
        <f t="shared" si="10"/>
        <v>0</v>
      </c>
      <c r="R104" s="39" t="e">
        <f t="shared" si="9"/>
        <v>#DIV/0!</v>
      </c>
      <c r="S104" s="35"/>
      <c r="T104" s="40">
        <f t="shared" si="8"/>
        <v>-1</v>
      </c>
    </row>
    <row r="105" spans="1:20" ht="26.25" customHeight="1">
      <c r="A105" s="5" t="s">
        <v>595</v>
      </c>
      <c r="B105" s="3" t="s">
        <v>704</v>
      </c>
      <c r="D105" s="26" t="s">
        <v>275</v>
      </c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6">
        <f t="shared" si="10"/>
        <v>0</v>
      </c>
      <c r="R105" s="39" t="e">
        <f t="shared" si="9"/>
        <v>#DIV/0!</v>
      </c>
      <c r="S105" s="35"/>
      <c r="T105" s="40">
        <f t="shared" si="8"/>
        <v>-1</v>
      </c>
    </row>
    <row r="106" spans="1:20" ht="26.25" customHeight="1">
      <c r="D106" s="21" t="s">
        <v>758</v>
      </c>
      <c r="E106" s="91">
        <f>SUM(E38:E105)</f>
        <v>0</v>
      </c>
      <c r="F106" s="91">
        <f t="shared" ref="F106:Q106" si="11">SUM(F38:F105)</f>
        <v>0</v>
      </c>
      <c r="G106" s="91">
        <f t="shared" si="11"/>
        <v>0</v>
      </c>
      <c r="H106" s="91">
        <f t="shared" si="11"/>
        <v>0</v>
      </c>
      <c r="I106" s="91">
        <f t="shared" si="11"/>
        <v>0</v>
      </c>
      <c r="J106" s="91">
        <f t="shared" si="11"/>
        <v>0</v>
      </c>
      <c r="K106" s="91">
        <f t="shared" si="11"/>
        <v>0</v>
      </c>
      <c r="L106" s="91">
        <f t="shared" si="11"/>
        <v>0</v>
      </c>
      <c r="M106" s="91">
        <f t="shared" si="11"/>
        <v>0</v>
      </c>
      <c r="N106" s="91">
        <f t="shared" si="11"/>
        <v>0</v>
      </c>
      <c r="O106" s="91">
        <f t="shared" si="11"/>
        <v>0</v>
      </c>
      <c r="P106" s="91">
        <f t="shared" si="11"/>
        <v>0</v>
      </c>
      <c r="Q106" s="91">
        <f t="shared" si="11"/>
        <v>0</v>
      </c>
      <c r="R106" s="39" t="e">
        <f t="shared" si="9"/>
        <v>#DIV/0!</v>
      </c>
      <c r="S106" s="35"/>
      <c r="T106" s="40">
        <f t="shared" si="8"/>
        <v>-1</v>
      </c>
    </row>
    <row r="107" spans="1:20" ht="26.25" customHeight="1">
      <c r="D107" s="21" t="s">
        <v>759</v>
      </c>
      <c r="E107" s="91">
        <f>E15-E34-E35-E106</f>
        <v>0</v>
      </c>
      <c r="F107" s="91">
        <f t="shared" ref="F107:Q107" si="12">F15-F34-F35-F106</f>
        <v>0</v>
      </c>
      <c r="G107" s="91">
        <f t="shared" si="12"/>
        <v>0</v>
      </c>
      <c r="H107" s="91">
        <f t="shared" si="12"/>
        <v>0</v>
      </c>
      <c r="I107" s="91">
        <f t="shared" si="12"/>
        <v>0</v>
      </c>
      <c r="J107" s="91">
        <f t="shared" si="12"/>
        <v>0</v>
      </c>
      <c r="K107" s="91">
        <f t="shared" si="12"/>
        <v>0</v>
      </c>
      <c r="L107" s="91">
        <f t="shared" si="12"/>
        <v>0</v>
      </c>
      <c r="M107" s="91">
        <f t="shared" si="12"/>
        <v>0</v>
      </c>
      <c r="N107" s="91">
        <f t="shared" si="12"/>
        <v>0</v>
      </c>
      <c r="O107" s="91">
        <f t="shared" si="12"/>
        <v>0</v>
      </c>
      <c r="P107" s="91">
        <f t="shared" si="12"/>
        <v>0</v>
      </c>
      <c r="Q107" s="91">
        <f t="shared" si="12"/>
        <v>0</v>
      </c>
      <c r="R107" s="39" t="e">
        <f t="shared" si="9"/>
        <v>#DIV/0!</v>
      </c>
      <c r="S107" s="35"/>
      <c r="T107" s="40">
        <f t="shared" ref="T107:T109" si="13">IF(Q107-S107=0,0,(Q107-S107)/S107)</f>
        <v>0</v>
      </c>
    </row>
    <row r="108" spans="1:20" ht="26.25" customHeight="1">
      <c r="A108" s="5" t="s">
        <v>760</v>
      </c>
      <c r="B108" s="3" t="s">
        <v>704</v>
      </c>
      <c r="D108" s="21" t="s">
        <v>353</v>
      </c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S108" s="35"/>
      <c r="T108" s="40"/>
    </row>
    <row r="109" spans="1:20" ht="26.25" customHeight="1">
      <c r="E109" s="98" t="e">
        <f>E107/E15</f>
        <v>#DIV/0!</v>
      </c>
      <c r="F109" s="98" t="e">
        <f t="shared" ref="F109:Q109" si="14">F107/F15</f>
        <v>#DIV/0!</v>
      </c>
      <c r="G109" s="98" t="e">
        <f t="shared" si="14"/>
        <v>#DIV/0!</v>
      </c>
      <c r="H109" s="98" t="e">
        <f t="shared" si="14"/>
        <v>#DIV/0!</v>
      </c>
      <c r="I109" s="98" t="e">
        <f t="shared" si="14"/>
        <v>#DIV/0!</v>
      </c>
      <c r="J109" s="98" t="e">
        <f t="shared" si="14"/>
        <v>#DIV/0!</v>
      </c>
      <c r="K109" s="98" t="e">
        <f t="shared" si="14"/>
        <v>#DIV/0!</v>
      </c>
      <c r="L109" s="98" t="e">
        <f t="shared" si="14"/>
        <v>#DIV/0!</v>
      </c>
      <c r="M109" s="98" t="e">
        <f t="shared" si="14"/>
        <v>#DIV/0!</v>
      </c>
      <c r="N109" s="98" t="e">
        <f t="shared" si="14"/>
        <v>#DIV/0!</v>
      </c>
      <c r="O109" s="98" t="e">
        <f t="shared" si="14"/>
        <v>#DIV/0!</v>
      </c>
      <c r="P109" s="98" t="e">
        <f t="shared" si="14"/>
        <v>#DIV/0!</v>
      </c>
      <c r="Q109" s="98" t="e">
        <f t="shared" si="14"/>
        <v>#DIV/0!</v>
      </c>
      <c r="S109" s="39"/>
      <c r="T109" s="40" t="e">
        <f t="shared" si="13"/>
        <v>#DIV/0!</v>
      </c>
    </row>
    <row r="110" spans="1:20" ht="26.25" customHeight="1">
      <c r="D110" s="21" t="s">
        <v>761</v>
      </c>
      <c r="E110" s="67"/>
      <c r="F110" s="99"/>
      <c r="G110" s="67"/>
      <c r="H110" s="100"/>
      <c r="I110" s="67"/>
      <c r="J110" s="99"/>
      <c r="K110" s="67"/>
      <c r="L110" s="102"/>
      <c r="M110" s="67"/>
      <c r="N110" s="99"/>
      <c r="O110" s="103"/>
      <c r="P110" s="103"/>
      <c r="Q110" s="103"/>
      <c r="S110" s="35"/>
      <c r="T110" s="40"/>
    </row>
    <row r="111" spans="1:20" ht="26.25" customHeight="1">
      <c r="D111" s="21" t="s">
        <v>762</v>
      </c>
      <c r="E111" s="67"/>
      <c r="F111" s="99"/>
      <c r="G111" s="67"/>
      <c r="H111" s="100"/>
      <c r="I111" s="67"/>
      <c r="J111" s="99"/>
      <c r="K111" s="67"/>
      <c r="L111" s="102"/>
      <c r="M111" s="67"/>
      <c r="N111" s="99"/>
      <c r="O111" s="103"/>
      <c r="P111" s="103"/>
      <c r="Q111" s="103"/>
      <c r="S111" s="35"/>
      <c r="T111" s="40"/>
    </row>
    <row r="112" spans="1:20" ht="26.25" customHeight="1">
      <c r="A112" s="5" t="s">
        <v>297</v>
      </c>
      <c r="B112" s="3" t="s">
        <v>704</v>
      </c>
      <c r="D112" s="26" t="s">
        <v>763</v>
      </c>
      <c r="E112" s="90">
        <f>Summary!E$1040</f>
        <v>0</v>
      </c>
      <c r="F112" s="90">
        <f>Summary!F$1040</f>
        <v>0</v>
      </c>
      <c r="G112" s="90">
        <f>Summary!G$1040</f>
        <v>0</v>
      </c>
      <c r="H112" s="90">
        <f>Summary!H$1040</f>
        <v>0</v>
      </c>
      <c r="I112" s="90">
        <f>Summary!I$1040</f>
        <v>0</v>
      </c>
      <c r="J112" s="90">
        <f>Summary!J$1040</f>
        <v>0</v>
      </c>
      <c r="K112" s="90">
        <f>Summary!K$1040</f>
        <v>0</v>
      </c>
      <c r="L112" s="90">
        <f>Summary!L$1040</f>
        <v>0</v>
      </c>
      <c r="M112" s="90">
        <f>Summary!M$1040</f>
        <v>0</v>
      </c>
      <c r="N112" s="90">
        <f>Summary!N$1040</f>
        <v>0</v>
      </c>
      <c r="O112" s="90">
        <f>Summary!O$1040</f>
        <v>0</v>
      </c>
      <c r="P112" s="90">
        <f>Summary!P$1040</f>
        <v>0</v>
      </c>
      <c r="Q112" s="96">
        <f>SUM(E112:P112)</f>
        <v>0</v>
      </c>
      <c r="R112" s="39" t="e">
        <f>Q112/$Q$15</f>
        <v>#DIV/0!</v>
      </c>
      <c r="S112" s="35"/>
      <c r="T112" s="40">
        <f>-IF(Q112-S112=0,0,(Q112-S112)/S112)</f>
        <v>0</v>
      </c>
    </row>
    <row r="113" spans="1:20" ht="26.25" customHeight="1">
      <c r="A113" s="5" t="s">
        <v>300</v>
      </c>
      <c r="B113" s="3" t="s">
        <v>704</v>
      </c>
      <c r="D113" s="26" t="s">
        <v>764</v>
      </c>
      <c r="E113" s="101">
        <f>Summary!E$1041</f>
        <v>0</v>
      </c>
      <c r="F113" s="101">
        <f>Summary!F$1041</f>
        <v>0</v>
      </c>
      <c r="G113" s="101">
        <f>Summary!G$1041</f>
        <v>0</v>
      </c>
      <c r="H113" s="101">
        <f>Summary!H$1041</f>
        <v>0</v>
      </c>
      <c r="I113" s="101">
        <f>Summary!I$1041</f>
        <v>0</v>
      </c>
      <c r="J113" s="101">
        <f>Summary!J$1041</f>
        <v>0</v>
      </c>
      <c r="K113" s="101">
        <f>Summary!K$1041</f>
        <v>0</v>
      </c>
      <c r="L113" s="101">
        <f>Summary!L$1041</f>
        <v>0</v>
      </c>
      <c r="M113" s="101">
        <f>Summary!M$1041</f>
        <v>0</v>
      </c>
      <c r="N113" s="101">
        <f>Summary!N$1041</f>
        <v>0</v>
      </c>
      <c r="O113" s="101">
        <f>Summary!O$1041</f>
        <v>0</v>
      </c>
      <c r="P113" s="101">
        <f>Summary!P$1041</f>
        <v>0</v>
      </c>
      <c r="Q113" s="104">
        <f>SUM(E113:P113)</f>
        <v>0</v>
      </c>
      <c r="R113" s="39" t="e">
        <f>Q113/$Q$15</f>
        <v>#DIV/0!</v>
      </c>
      <c r="S113" s="35"/>
      <c r="T113" s="40">
        <f t="shared" ref="T113:T145" si="15">-IF(Q113-S113=0,0,(Q113-S113)/S113)</f>
        <v>0</v>
      </c>
    </row>
    <row r="114" spans="1:20" ht="26.25" customHeight="1">
      <c r="D114" s="21" t="s">
        <v>765</v>
      </c>
      <c r="E114" s="92">
        <f>SUM(E112:E113)</f>
        <v>0</v>
      </c>
      <c r="F114" s="92">
        <f t="shared" ref="F114:Q114" si="16">SUM(F112:F113)</f>
        <v>0</v>
      </c>
      <c r="G114" s="92">
        <f t="shared" si="16"/>
        <v>0</v>
      </c>
      <c r="H114" s="92">
        <f t="shared" si="16"/>
        <v>0</v>
      </c>
      <c r="I114" s="92">
        <f t="shared" si="16"/>
        <v>0</v>
      </c>
      <c r="J114" s="92">
        <f t="shared" si="16"/>
        <v>0</v>
      </c>
      <c r="K114" s="92">
        <f t="shared" si="16"/>
        <v>0</v>
      </c>
      <c r="L114" s="92">
        <f t="shared" si="16"/>
        <v>0</v>
      </c>
      <c r="M114" s="92">
        <f t="shared" si="16"/>
        <v>0</v>
      </c>
      <c r="N114" s="92">
        <f t="shared" si="16"/>
        <v>0</v>
      </c>
      <c r="O114" s="92">
        <f t="shared" si="16"/>
        <v>0</v>
      </c>
      <c r="P114" s="92">
        <f t="shared" si="16"/>
        <v>0</v>
      </c>
      <c r="Q114" s="92">
        <f t="shared" si="16"/>
        <v>0</v>
      </c>
      <c r="R114" s="39" t="e">
        <f>Q114/$Q$15</f>
        <v>#DIV/0!</v>
      </c>
      <c r="S114" s="35"/>
      <c r="T114" s="40">
        <f t="shared" si="15"/>
        <v>0</v>
      </c>
    </row>
    <row r="115" spans="1:20" ht="26.25" customHeight="1">
      <c r="E115" s="67"/>
      <c r="F115" s="99"/>
      <c r="G115" s="67"/>
      <c r="H115" s="67"/>
      <c r="I115" s="67"/>
      <c r="J115" s="99"/>
      <c r="K115" s="67"/>
      <c r="L115" s="102"/>
      <c r="M115" s="67"/>
      <c r="N115" s="99"/>
      <c r="O115" s="103"/>
      <c r="P115" s="103"/>
      <c r="Q115" s="103"/>
      <c r="S115" s="35"/>
      <c r="T115" s="40"/>
    </row>
    <row r="116" spans="1:20" ht="26.25" customHeight="1">
      <c r="A116" s="5" t="s">
        <v>603</v>
      </c>
      <c r="B116" s="3" t="s">
        <v>704</v>
      </c>
      <c r="D116" s="26" t="s">
        <v>766</v>
      </c>
      <c r="E116" s="90">
        <f>Summary!E$1042</f>
        <v>0</v>
      </c>
      <c r="F116" s="90">
        <f>Summary!F$1042</f>
        <v>0</v>
      </c>
      <c r="G116" s="90">
        <f>Summary!G$1042</f>
        <v>0</v>
      </c>
      <c r="H116" s="90">
        <f>Summary!H$1042</f>
        <v>0</v>
      </c>
      <c r="I116" s="90">
        <f>Summary!I$1042</f>
        <v>0</v>
      </c>
      <c r="J116" s="90">
        <f>Summary!J$1042</f>
        <v>0</v>
      </c>
      <c r="K116" s="90">
        <f>Summary!K$1042</f>
        <v>0</v>
      </c>
      <c r="L116" s="90">
        <f>Summary!L$1042</f>
        <v>0</v>
      </c>
      <c r="M116" s="90">
        <f>Summary!M$1042</f>
        <v>0</v>
      </c>
      <c r="N116" s="90">
        <f>Summary!N$1042</f>
        <v>0</v>
      </c>
      <c r="O116" s="90">
        <f>Summary!O$1042</f>
        <v>0</v>
      </c>
      <c r="P116" s="90">
        <f>Summary!P$1042</f>
        <v>0</v>
      </c>
      <c r="Q116" s="96">
        <f>SUM(E116:P116)</f>
        <v>0</v>
      </c>
      <c r="R116" s="39" t="e">
        <f t="shared" ref="R116:R123" si="17">Q116/$Q$15</f>
        <v>#DIV/0!</v>
      </c>
      <c r="S116" s="35"/>
      <c r="T116" s="40">
        <f t="shared" si="15"/>
        <v>0</v>
      </c>
    </row>
    <row r="117" spans="1:20" ht="26.25" customHeight="1">
      <c r="A117" s="5" t="s">
        <v>310</v>
      </c>
      <c r="B117" s="3" t="s">
        <v>704</v>
      </c>
      <c r="D117" s="26" t="s">
        <v>767</v>
      </c>
      <c r="E117" s="90">
        <f>Summary!E$1043</f>
        <v>0</v>
      </c>
      <c r="F117" s="90">
        <f>Summary!F$1043</f>
        <v>0</v>
      </c>
      <c r="G117" s="90">
        <f>Summary!G$1043</f>
        <v>0</v>
      </c>
      <c r="H117" s="90">
        <f>Summary!H$1043</f>
        <v>0</v>
      </c>
      <c r="I117" s="90">
        <f>Summary!I$1043</f>
        <v>0</v>
      </c>
      <c r="J117" s="90">
        <f>Summary!J$1043</f>
        <v>0</v>
      </c>
      <c r="K117" s="90">
        <f>Summary!K$1043</f>
        <v>0</v>
      </c>
      <c r="L117" s="90">
        <f>Summary!L$1043</f>
        <v>0</v>
      </c>
      <c r="M117" s="90">
        <f>Summary!M$1043</f>
        <v>0</v>
      </c>
      <c r="N117" s="90">
        <f>Summary!N$1043</f>
        <v>0</v>
      </c>
      <c r="O117" s="90">
        <f>Summary!O$1043</f>
        <v>0</v>
      </c>
      <c r="P117" s="90">
        <f>Summary!P$1043</f>
        <v>0</v>
      </c>
      <c r="Q117" s="96">
        <f t="shared" ref="Q117:Q122" si="18">SUM(E117:P117)</f>
        <v>0</v>
      </c>
      <c r="R117" s="39" t="e">
        <f t="shared" si="17"/>
        <v>#DIV/0!</v>
      </c>
      <c r="S117" s="35"/>
      <c r="T117" s="40">
        <f t="shared" si="15"/>
        <v>0</v>
      </c>
    </row>
    <row r="118" spans="1:20" ht="26.25" customHeight="1">
      <c r="A118" s="5" t="s">
        <v>604</v>
      </c>
      <c r="B118" s="3" t="s">
        <v>704</v>
      </c>
      <c r="D118" s="26" t="s">
        <v>768</v>
      </c>
      <c r="E118" s="90">
        <f>Summary!E$1044</f>
        <v>0</v>
      </c>
      <c r="F118" s="90">
        <f>Summary!F$1044</f>
        <v>0</v>
      </c>
      <c r="G118" s="90">
        <f>Summary!G$1044</f>
        <v>0</v>
      </c>
      <c r="H118" s="90">
        <f>Summary!H$1044</f>
        <v>0</v>
      </c>
      <c r="I118" s="90">
        <f>Summary!I$1044</f>
        <v>0</v>
      </c>
      <c r="J118" s="90">
        <f>Summary!J$1044</f>
        <v>0</v>
      </c>
      <c r="K118" s="90">
        <f>Summary!K$1044</f>
        <v>0</v>
      </c>
      <c r="L118" s="90">
        <f>Summary!L$1044</f>
        <v>0</v>
      </c>
      <c r="M118" s="90">
        <f>Summary!M$1044</f>
        <v>0</v>
      </c>
      <c r="N118" s="90">
        <f>Summary!N$1044</f>
        <v>0</v>
      </c>
      <c r="O118" s="90">
        <f>Summary!O$1044</f>
        <v>0</v>
      </c>
      <c r="P118" s="90">
        <f>Summary!P$1044</f>
        <v>0</v>
      </c>
      <c r="Q118" s="96">
        <f t="shared" si="18"/>
        <v>0</v>
      </c>
      <c r="R118" s="39" t="e">
        <f t="shared" si="17"/>
        <v>#DIV/0!</v>
      </c>
      <c r="S118" s="35"/>
      <c r="T118" s="40">
        <f t="shared" si="15"/>
        <v>0</v>
      </c>
    </row>
    <row r="119" spans="1:20" ht="26.25" customHeight="1">
      <c r="A119" s="5" t="s">
        <v>605</v>
      </c>
      <c r="B119" s="3" t="s">
        <v>704</v>
      </c>
      <c r="D119" s="26" t="s">
        <v>769</v>
      </c>
      <c r="E119" s="90">
        <f>Summary!E$1045</f>
        <v>0</v>
      </c>
      <c r="F119" s="90">
        <f>Summary!F$1045</f>
        <v>0</v>
      </c>
      <c r="G119" s="90">
        <f>Summary!G$1045</f>
        <v>0</v>
      </c>
      <c r="H119" s="90">
        <f>Summary!H$1045</f>
        <v>0</v>
      </c>
      <c r="I119" s="90">
        <f>Summary!I$1045</f>
        <v>0</v>
      </c>
      <c r="J119" s="90">
        <f>Summary!J$1045</f>
        <v>0</v>
      </c>
      <c r="K119" s="90">
        <f>Summary!K$1045</f>
        <v>0</v>
      </c>
      <c r="L119" s="90">
        <f>Summary!L$1045</f>
        <v>0</v>
      </c>
      <c r="M119" s="90">
        <f>Summary!M$1045</f>
        <v>0</v>
      </c>
      <c r="N119" s="90">
        <f>Summary!N$1045</f>
        <v>0</v>
      </c>
      <c r="O119" s="90">
        <f>Summary!O$1045</f>
        <v>0</v>
      </c>
      <c r="P119" s="90">
        <f>Summary!P$1045</f>
        <v>0</v>
      </c>
      <c r="Q119" s="96">
        <f t="shared" si="18"/>
        <v>0</v>
      </c>
      <c r="R119" s="39" t="e">
        <f t="shared" si="17"/>
        <v>#DIV/0!</v>
      </c>
      <c r="S119" s="35"/>
      <c r="T119" s="40">
        <f t="shared" si="15"/>
        <v>0</v>
      </c>
    </row>
    <row r="120" spans="1:20" ht="26.25" customHeight="1">
      <c r="A120" s="5" t="s">
        <v>606</v>
      </c>
      <c r="B120" s="3" t="s">
        <v>704</v>
      </c>
      <c r="D120" s="26" t="s">
        <v>770</v>
      </c>
      <c r="E120" s="90">
        <f>Summary!E$1046</f>
        <v>0</v>
      </c>
      <c r="F120" s="90">
        <f>Summary!F$1046</f>
        <v>0</v>
      </c>
      <c r="G120" s="90">
        <f>Summary!G$1046</f>
        <v>0</v>
      </c>
      <c r="H120" s="90">
        <f>Summary!H$1046</f>
        <v>0</v>
      </c>
      <c r="I120" s="90">
        <f>Summary!I$1046</f>
        <v>0</v>
      </c>
      <c r="J120" s="90">
        <f>Summary!J$1046</f>
        <v>0</v>
      </c>
      <c r="K120" s="90">
        <f>Summary!K$1046</f>
        <v>0</v>
      </c>
      <c r="L120" s="90">
        <f>Summary!L$1046</f>
        <v>0</v>
      </c>
      <c r="M120" s="90">
        <f>Summary!M$1046</f>
        <v>0</v>
      </c>
      <c r="N120" s="90">
        <f>Summary!N$1046</f>
        <v>0</v>
      </c>
      <c r="O120" s="90">
        <f>Summary!O$1046</f>
        <v>0</v>
      </c>
      <c r="P120" s="90">
        <f>Summary!P$1046</f>
        <v>0</v>
      </c>
      <c r="Q120" s="113">
        <f t="shared" si="18"/>
        <v>0</v>
      </c>
      <c r="R120" s="39" t="e">
        <f t="shared" si="17"/>
        <v>#DIV/0!</v>
      </c>
      <c r="S120" s="35"/>
      <c r="T120" s="40">
        <f t="shared" si="15"/>
        <v>0</v>
      </c>
    </row>
    <row r="121" spans="1:20" ht="26.25" customHeight="1">
      <c r="A121" s="5" t="s">
        <v>1066</v>
      </c>
      <c r="B121" s="5" t="s">
        <v>687</v>
      </c>
      <c r="D121" s="26" t="s">
        <v>1136</v>
      </c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113">
        <f t="shared" si="18"/>
        <v>0</v>
      </c>
      <c r="R121" s="39">
        <f t="shared" ref="R121:R122" si="19">IF($Q$14=0,0,Q121/$Q$14)</f>
        <v>0</v>
      </c>
      <c r="S121" s="35"/>
      <c r="T121" s="40">
        <f t="shared" si="15"/>
        <v>0</v>
      </c>
    </row>
    <row r="122" spans="1:20" ht="26.25" customHeight="1">
      <c r="A122" s="5" t="s">
        <v>1066</v>
      </c>
      <c r="B122" s="5" t="s">
        <v>687</v>
      </c>
      <c r="D122" s="26" t="s">
        <v>1070</v>
      </c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113">
        <f t="shared" si="18"/>
        <v>0</v>
      </c>
      <c r="R122" s="39">
        <f t="shared" si="19"/>
        <v>0</v>
      </c>
      <c r="S122" s="35"/>
      <c r="T122" s="40">
        <f t="shared" si="15"/>
        <v>0</v>
      </c>
    </row>
    <row r="123" spans="1:20" ht="26.25" customHeight="1">
      <c r="D123" s="21" t="s">
        <v>771</v>
      </c>
      <c r="E123" s="92">
        <f>SUM(E116:E122)</f>
        <v>0</v>
      </c>
      <c r="F123" s="92">
        <f t="shared" ref="F123:P123" si="20">SUM(F116:F122)</f>
        <v>0</v>
      </c>
      <c r="G123" s="92">
        <f t="shared" si="20"/>
        <v>0</v>
      </c>
      <c r="H123" s="92">
        <f t="shared" si="20"/>
        <v>0</v>
      </c>
      <c r="I123" s="92">
        <f t="shared" si="20"/>
        <v>0</v>
      </c>
      <c r="J123" s="92">
        <f t="shared" si="20"/>
        <v>0</v>
      </c>
      <c r="K123" s="92">
        <f t="shared" si="20"/>
        <v>0</v>
      </c>
      <c r="L123" s="92">
        <f t="shared" si="20"/>
        <v>0</v>
      </c>
      <c r="M123" s="92">
        <f t="shared" si="20"/>
        <v>0</v>
      </c>
      <c r="N123" s="92">
        <f t="shared" si="20"/>
        <v>0</v>
      </c>
      <c r="O123" s="92">
        <f t="shared" si="20"/>
        <v>0</v>
      </c>
      <c r="P123" s="92">
        <f t="shared" si="20"/>
        <v>0</v>
      </c>
      <c r="Q123" s="92">
        <f>SUM(Q116:Q122)</f>
        <v>0</v>
      </c>
      <c r="R123" s="39" t="e">
        <f t="shared" si="17"/>
        <v>#DIV/0!</v>
      </c>
      <c r="S123" s="35"/>
      <c r="T123" s="40">
        <f t="shared" si="15"/>
        <v>0</v>
      </c>
    </row>
    <row r="124" spans="1:20" ht="26.25" customHeight="1">
      <c r="E124" s="67"/>
      <c r="F124" s="99"/>
      <c r="G124" s="67"/>
      <c r="H124" s="67"/>
      <c r="I124" s="67"/>
      <c r="J124" s="99"/>
      <c r="K124" s="67"/>
      <c r="L124" s="102"/>
      <c r="M124" s="67"/>
      <c r="N124" s="99"/>
      <c r="O124" s="103"/>
      <c r="P124" s="103"/>
      <c r="Q124" s="103"/>
      <c r="S124" s="35"/>
      <c r="T124" s="40"/>
    </row>
    <row r="125" spans="1:20" ht="26.25" customHeight="1">
      <c r="A125" s="5" t="s">
        <v>609</v>
      </c>
      <c r="B125" s="3" t="s">
        <v>704</v>
      </c>
      <c r="D125" s="26" t="s">
        <v>772</v>
      </c>
      <c r="E125" s="90">
        <f>Summary!E$1048</f>
        <v>0</v>
      </c>
      <c r="F125" s="90">
        <f>Summary!F$1048</f>
        <v>0</v>
      </c>
      <c r="G125" s="90">
        <f>Summary!G$1048</f>
        <v>0</v>
      </c>
      <c r="H125" s="90">
        <f>Summary!H$1048</f>
        <v>0</v>
      </c>
      <c r="I125" s="90">
        <f>Summary!I$1048</f>
        <v>0</v>
      </c>
      <c r="J125" s="90">
        <f>Summary!J$1048</f>
        <v>0</v>
      </c>
      <c r="K125" s="90">
        <f>Summary!K$1048</f>
        <v>0</v>
      </c>
      <c r="L125" s="90">
        <f>Summary!L$1048</f>
        <v>0</v>
      </c>
      <c r="M125" s="90">
        <f>Summary!M$1048</f>
        <v>0</v>
      </c>
      <c r="N125" s="90">
        <f>Summary!N$1048</f>
        <v>0</v>
      </c>
      <c r="O125" s="90">
        <f>Summary!O$1048</f>
        <v>0</v>
      </c>
      <c r="P125" s="90">
        <f>Summary!P$1048</f>
        <v>0</v>
      </c>
      <c r="Q125" s="96">
        <f>SUM(E125:P125)</f>
        <v>0</v>
      </c>
      <c r="R125" s="39" t="e">
        <f t="shared" ref="R125:R133" si="21">Q125/$Q$15</f>
        <v>#DIV/0!</v>
      </c>
      <c r="S125" s="35"/>
      <c r="T125" s="40">
        <f t="shared" si="15"/>
        <v>0</v>
      </c>
    </row>
    <row r="126" spans="1:20" ht="26.25" customHeight="1">
      <c r="A126" s="5" t="s">
        <v>610</v>
      </c>
      <c r="B126" s="3" t="s">
        <v>704</v>
      </c>
      <c r="D126" s="26" t="s">
        <v>773</v>
      </c>
      <c r="E126" s="90">
        <f>Summary!E$1049</f>
        <v>0</v>
      </c>
      <c r="F126" s="90">
        <f>Summary!F$1049</f>
        <v>0</v>
      </c>
      <c r="G126" s="90">
        <f>Summary!G$1049</f>
        <v>0</v>
      </c>
      <c r="H126" s="90">
        <f>Summary!H$1049</f>
        <v>0</v>
      </c>
      <c r="I126" s="90">
        <f>Summary!I$1049</f>
        <v>0</v>
      </c>
      <c r="J126" s="90">
        <f>Summary!J$1049</f>
        <v>0</v>
      </c>
      <c r="K126" s="90">
        <f>Summary!K$1049</f>
        <v>0</v>
      </c>
      <c r="L126" s="90">
        <f>Summary!L$1049</f>
        <v>0</v>
      </c>
      <c r="M126" s="90">
        <f>Summary!M$1049</f>
        <v>0</v>
      </c>
      <c r="N126" s="90">
        <f>Summary!N$1049</f>
        <v>0</v>
      </c>
      <c r="O126" s="90">
        <f>Summary!O$1049</f>
        <v>0</v>
      </c>
      <c r="P126" s="90">
        <f>Summary!P$1049</f>
        <v>0</v>
      </c>
      <c r="Q126" s="96">
        <f t="shared" ref="Q126:Q132" si="22">SUM(E126:P126)</f>
        <v>0</v>
      </c>
      <c r="R126" s="39" t="e">
        <f t="shared" si="21"/>
        <v>#DIV/0!</v>
      </c>
      <c r="S126" s="35"/>
      <c r="T126" s="40">
        <f t="shared" si="15"/>
        <v>0</v>
      </c>
    </row>
    <row r="127" spans="1:20" ht="26.25" customHeight="1">
      <c r="A127" s="5" t="s">
        <v>611</v>
      </c>
      <c r="B127" s="3" t="s">
        <v>704</v>
      </c>
      <c r="D127" s="26" t="s">
        <v>774</v>
      </c>
      <c r="E127" s="90">
        <f>Summary!E$1050</f>
        <v>0</v>
      </c>
      <c r="F127" s="90">
        <f>Summary!F$1050</f>
        <v>0</v>
      </c>
      <c r="G127" s="90">
        <f>Summary!G$1050</f>
        <v>0</v>
      </c>
      <c r="H127" s="90">
        <f>Summary!H$1050</f>
        <v>0</v>
      </c>
      <c r="I127" s="90">
        <f>Summary!I$1050</f>
        <v>0</v>
      </c>
      <c r="J127" s="90">
        <f>Summary!J$1050</f>
        <v>0</v>
      </c>
      <c r="K127" s="90">
        <f>Summary!K$1050</f>
        <v>0</v>
      </c>
      <c r="L127" s="90">
        <f>Summary!L$1050</f>
        <v>0</v>
      </c>
      <c r="M127" s="90">
        <f>Summary!M$1050</f>
        <v>0</v>
      </c>
      <c r="N127" s="90">
        <f>Summary!N$1050</f>
        <v>0</v>
      </c>
      <c r="O127" s="90">
        <f>Summary!O$1050</f>
        <v>0</v>
      </c>
      <c r="P127" s="90">
        <f>Summary!P$1050</f>
        <v>0</v>
      </c>
      <c r="Q127" s="96">
        <f t="shared" si="22"/>
        <v>0</v>
      </c>
      <c r="R127" s="39" t="e">
        <f t="shared" si="21"/>
        <v>#DIV/0!</v>
      </c>
      <c r="S127" s="35"/>
      <c r="T127" s="40">
        <f t="shared" si="15"/>
        <v>0</v>
      </c>
    </row>
    <row r="128" spans="1:20" ht="26.25" customHeight="1">
      <c r="A128" s="5" t="s">
        <v>612</v>
      </c>
      <c r="B128" s="3" t="s">
        <v>704</v>
      </c>
      <c r="D128" s="26" t="s">
        <v>775</v>
      </c>
      <c r="E128" s="90">
        <f>Summary!E$1051</f>
        <v>0</v>
      </c>
      <c r="F128" s="90">
        <f>Summary!F$1051</f>
        <v>0</v>
      </c>
      <c r="G128" s="90">
        <f>Summary!G$1051</f>
        <v>0</v>
      </c>
      <c r="H128" s="90">
        <f>Summary!H$1051</f>
        <v>0</v>
      </c>
      <c r="I128" s="90">
        <f>Summary!I$1051</f>
        <v>0</v>
      </c>
      <c r="J128" s="90">
        <f>Summary!J$1051</f>
        <v>0</v>
      </c>
      <c r="K128" s="90">
        <f>Summary!K$1051</f>
        <v>0</v>
      </c>
      <c r="L128" s="90">
        <f>Summary!L$1051</f>
        <v>0</v>
      </c>
      <c r="M128" s="90">
        <f>Summary!M$1051</f>
        <v>0</v>
      </c>
      <c r="N128" s="90">
        <f>Summary!N$1051</f>
        <v>0</v>
      </c>
      <c r="O128" s="90">
        <f>Summary!O$1051</f>
        <v>0</v>
      </c>
      <c r="P128" s="90">
        <f>Summary!P$1051</f>
        <v>0</v>
      </c>
      <c r="Q128" s="96">
        <f t="shared" si="22"/>
        <v>0</v>
      </c>
      <c r="R128" s="39" t="e">
        <f t="shared" si="21"/>
        <v>#DIV/0!</v>
      </c>
      <c r="S128" s="35"/>
      <c r="T128" s="40">
        <f t="shared" si="15"/>
        <v>0</v>
      </c>
    </row>
    <row r="129" spans="1:20" ht="26.25" customHeight="1">
      <c r="A129" s="5" t="s">
        <v>613</v>
      </c>
      <c r="B129" s="3" t="s">
        <v>704</v>
      </c>
      <c r="D129" s="26" t="s">
        <v>776</v>
      </c>
      <c r="E129" s="90">
        <f>Summary!E$1052</f>
        <v>0</v>
      </c>
      <c r="F129" s="90">
        <f>Summary!F$1052</f>
        <v>0</v>
      </c>
      <c r="G129" s="90">
        <f>Summary!G$1052</f>
        <v>0</v>
      </c>
      <c r="H129" s="90">
        <f>Summary!H$1052</f>
        <v>0</v>
      </c>
      <c r="I129" s="90">
        <f>Summary!I$1052</f>
        <v>0</v>
      </c>
      <c r="J129" s="90">
        <f>Summary!J$1052</f>
        <v>0</v>
      </c>
      <c r="K129" s="90">
        <f>Summary!K$1052</f>
        <v>0</v>
      </c>
      <c r="L129" s="90">
        <f>Summary!L$1052</f>
        <v>0</v>
      </c>
      <c r="M129" s="90">
        <f>Summary!M$1052</f>
        <v>0</v>
      </c>
      <c r="N129" s="90">
        <f>Summary!N$1052</f>
        <v>0</v>
      </c>
      <c r="O129" s="90">
        <f>Summary!O$1052</f>
        <v>0</v>
      </c>
      <c r="P129" s="90">
        <f>Summary!P$1052</f>
        <v>0</v>
      </c>
      <c r="Q129" s="96">
        <f t="shared" si="22"/>
        <v>0</v>
      </c>
      <c r="R129" s="39" t="e">
        <f t="shared" si="21"/>
        <v>#DIV/0!</v>
      </c>
      <c r="S129" s="35"/>
      <c r="T129" s="40">
        <f t="shared" si="15"/>
        <v>0</v>
      </c>
    </row>
    <row r="130" spans="1:20" ht="26.25" customHeight="1">
      <c r="A130" s="5" t="s">
        <v>614</v>
      </c>
      <c r="B130" s="3" t="s">
        <v>704</v>
      </c>
      <c r="D130" s="26" t="s">
        <v>777</v>
      </c>
      <c r="E130" s="90">
        <f>Summary!E$1053</f>
        <v>0</v>
      </c>
      <c r="F130" s="90">
        <f>Summary!F$1053</f>
        <v>0</v>
      </c>
      <c r="G130" s="90">
        <f>Summary!G$1053</f>
        <v>0</v>
      </c>
      <c r="H130" s="90">
        <f>Summary!H$1053</f>
        <v>0</v>
      </c>
      <c r="I130" s="90">
        <f>Summary!I$1053</f>
        <v>0</v>
      </c>
      <c r="J130" s="90">
        <f>Summary!J$1053</f>
        <v>0</v>
      </c>
      <c r="K130" s="90">
        <f>Summary!K$1053</f>
        <v>0</v>
      </c>
      <c r="L130" s="90">
        <f>Summary!L$1053</f>
        <v>0</v>
      </c>
      <c r="M130" s="90">
        <f>Summary!M$1053</f>
        <v>0</v>
      </c>
      <c r="N130" s="90">
        <f>Summary!N$1053</f>
        <v>0</v>
      </c>
      <c r="O130" s="90">
        <f>Summary!O$1053</f>
        <v>0</v>
      </c>
      <c r="P130" s="90">
        <f>Summary!P$1053</f>
        <v>0</v>
      </c>
      <c r="Q130" s="96">
        <f t="shared" si="22"/>
        <v>0</v>
      </c>
      <c r="R130" s="39" t="e">
        <f t="shared" si="21"/>
        <v>#DIV/0!</v>
      </c>
      <c r="S130" s="35"/>
      <c r="T130" s="40">
        <f t="shared" si="15"/>
        <v>0</v>
      </c>
    </row>
    <row r="131" spans="1:20" ht="26.25" customHeight="1">
      <c r="A131" s="5" t="s">
        <v>615</v>
      </c>
      <c r="B131" s="3" t="s">
        <v>704</v>
      </c>
      <c r="D131" s="26" t="s">
        <v>778</v>
      </c>
      <c r="E131" s="90">
        <v>0</v>
      </c>
      <c r="F131" s="90">
        <v>0</v>
      </c>
      <c r="G131" s="90">
        <v>0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90">
        <v>0</v>
      </c>
      <c r="O131" s="90">
        <v>0</v>
      </c>
      <c r="P131" s="90">
        <v>0</v>
      </c>
      <c r="Q131" s="96">
        <f t="shared" si="22"/>
        <v>0</v>
      </c>
      <c r="R131" s="39" t="e">
        <f t="shared" si="21"/>
        <v>#DIV/0!</v>
      </c>
      <c r="S131" s="35"/>
      <c r="T131" s="40">
        <f t="shared" si="15"/>
        <v>0</v>
      </c>
    </row>
    <row r="132" spans="1:20" ht="26.25" customHeight="1">
      <c r="A132" s="5" t="s">
        <v>616</v>
      </c>
      <c r="B132" s="3" t="s">
        <v>704</v>
      </c>
      <c r="D132" s="26" t="s">
        <v>779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4">
        <f t="shared" si="22"/>
        <v>0</v>
      </c>
      <c r="R132" s="39" t="e">
        <f t="shared" si="21"/>
        <v>#DIV/0!</v>
      </c>
      <c r="S132" s="35"/>
      <c r="T132" s="40">
        <f t="shared" si="15"/>
        <v>0</v>
      </c>
    </row>
    <row r="133" spans="1:20" ht="26.25" customHeight="1">
      <c r="D133" s="21" t="s">
        <v>780</v>
      </c>
      <c r="E133" s="92">
        <f>SUM(E125:E132)</f>
        <v>0</v>
      </c>
      <c r="F133" s="92">
        <f t="shared" ref="F133:P133" si="23">SUM(F125:F132)</f>
        <v>0</v>
      </c>
      <c r="G133" s="92">
        <f t="shared" si="23"/>
        <v>0</v>
      </c>
      <c r="H133" s="92">
        <f t="shared" si="23"/>
        <v>0</v>
      </c>
      <c r="I133" s="92">
        <f t="shared" si="23"/>
        <v>0</v>
      </c>
      <c r="J133" s="92">
        <f t="shared" si="23"/>
        <v>0</v>
      </c>
      <c r="K133" s="92">
        <f t="shared" si="23"/>
        <v>0</v>
      </c>
      <c r="L133" s="92">
        <f t="shared" si="23"/>
        <v>0</v>
      </c>
      <c r="M133" s="92">
        <f t="shared" si="23"/>
        <v>0</v>
      </c>
      <c r="N133" s="92">
        <f t="shared" si="23"/>
        <v>0</v>
      </c>
      <c r="O133" s="92">
        <f t="shared" si="23"/>
        <v>0</v>
      </c>
      <c r="P133" s="92">
        <f t="shared" si="23"/>
        <v>0</v>
      </c>
      <c r="Q133" s="92">
        <f t="shared" ref="Q133" si="24">SUM(Q125:Q132)</f>
        <v>0</v>
      </c>
      <c r="R133" s="39" t="e">
        <f t="shared" si="21"/>
        <v>#DIV/0!</v>
      </c>
      <c r="S133" s="35"/>
      <c r="T133" s="40">
        <f t="shared" si="15"/>
        <v>0</v>
      </c>
    </row>
    <row r="134" spans="1:20" ht="26.25" customHeight="1">
      <c r="E134" s="67"/>
      <c r="F134" s="99"/>
      <c r="G134" s="67"/>
      <c r="H134" s="67"/>
      <c r="I134" s="67"/>
      <c r="J134" s="99"/>
      <c r="K134" s="67"/>
      <c r="L134" s="102"/>
      <c r="M134" s="67"/>
      <c r="N134" s="99"/>
      <c r="O134" s="103"/>
      <c r="P134" s="103"/>
      <c r="Q134" s="103"/>
      <c r="S134" s="35"/>
      <c r="T134" s="40"/>
    </row>
    <row r="135" spans="1:20" ht="26.25" hidden="1" customHeight="1">
      <c r="A135" s="5" t="s">
        <v>617</v>
      </c>
      <c r="B135" s="3" t="s">
        <v>704</v>
      </c>
      <c r="D135" s="26" t="s">
        <v>781</v>
      </c>
      <c r="E135" s="90">
        <v>0</v>
      </c>
      <c r="F135" s="90">
        <v>0</v>
      </c>
      <c r="G135" s="90">
        <v>0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90">
        <v>0</v>
      </c>
      <c r="O135" s="90">
        <v>0</v>
      </c>
      <c r="P135" s="90">
        <v>0</v>
      </c>
      <c r="Q135" s="96">
        <f>SUM(E135:P135)</f>
        <v>0</v>
      </c>
      <c r="R135" s="39" t="e">
        <f t="shared" ref="R135:R143" si="25">Q135/$Q$15</f>
        <v>#DIV/0!</v>
      </c>
      <c r="S135" s="35"/>
      <c r="T135" s="40">
        <f t="shared" si="15"/>
        <v>0</v>
      </c>
    </row>
    <row r="136" spans="1:20" ht="26.25" hidden="1" customHeight="1">
      <c r="A136" s="5" t="s">
        <v>618</v>
      </c>
      <c r="B136" s="3" t="s">
        <v>704</v>
      </c>
      <c r="D136" s="26" t="s">
        <v>782</v>
      </c>
      <c r="E136" s="90">
        <v>0</v>
      </c>
      <c r="F136" s="90">
        <v>0</v>
      </c>
      <c r="G136" s="90">
        <v>0</v>
      </c>
      <c r="H136" s="90">
        <v>0</v>
      </c>
      <c r="I136" s="90">
        <v>0</v>
      </c>
      <c r="J136" s="90">
        <v>0</v>
      </c>
      <c r="K136" s="90">
        <v>0</v>
      </c>
      <c r="L136" s="90">
        <v>0</v>
      </c>
      <c r="M136" s="90">
        <v>0</v>
      </c>
      <c r="N136" s="90">
        <v>0</v>
      </c>
      <c r="O136" s="90">
        <v>0</v>
      </c>
      <c r="P136" s="90">
        <v>0</v>
      </c>
      <c r="Q136" s="96">
        <f t="shared" ref="Q136:Q141" si="26">SUM(E136:P136)</f>
        <v>0</v>
      </c>
      <c r="R136" s="39" t="e">
        <f t="shared" si="25"/>
        <v>#DIV/0!</v>
      </c>
      <c r="S136" s="35"/>
      <c r="T136" s="40">
        <f t="shared" si="15"/>
        <v>0</v>
      </c>
    </row>
    <row r="137" spans="1:20" ht="26.25" hidden="1" customHeight="1">
      <c r="A137" s="5" t="s">
        <v>619</v>
      </c>
      <c r="B137" s="3" t="s">
        <v>704</v>
      </c>
      <c r="D137" s="26" t="s">
        <v>783</v>
      </c>
      <c r="E137" s="90">
        <v>0</v>
      </c>
      <c r="F137" s="90">
        <v>0</v>
      </c>
      <c r="G137" s="90">
        <v>0</v>
      </c>
      <c r="H137" s="90">
        <v>0</v>
      </c>
      <c r="I137" s="90">
        <v>0</v>
      </c>
      <c r="J137" s="90">
        <v>0</v>
      </c>
      <c r="K137" s="90">
        <v>0</v>
      </c>
      <c r="L137" s="90">
        <v>0</v>
      </c>
      <c r="M137" s="90">
        <v>0</v>
      </c>
      <c r="N137" s="90">
        <v>0</v>
      </c>
      <c r="O137" s="90">
        <v>0</v>
      </c>
      <c r="P137" s="90">
        <v>0</v>
      </c>
      <c r="Q137" s="96">
        <f t="shared" si="26"/>
        <v>0</v>
      </c>
      <c r="R137" s="39" t="e">
        <f t="shared" si="25"/>
        <v>#DIV/0!</v>
      </c>
      <c r="S137" s="35"/>
      <c r="T137" s="40">
        <f t="shared" si="15"/>
        <v>0</v>
      </c>
    </row>
    <row r="138" spans="1:20" ht="26.25" hidden="1" customHeight="1">
      <c r="A138" s="5" t="s">
        <v>620</v>
      </c>
      <c r="B138" s="3" t="s">
        <v>704</v>
      </c>
      <c r="D138" s="26" t="s">
        <v>784</v>
      </c>
      <c r="E138" s="90">
        <v>0</v>
      </c>
      <c r="F138" s="90">
        <v>0</v>
      </c>
      <c r="G138" s="90">
        <v>0</v>
      </c>
      <c r="H138" s="90">
        <v>0</v>
      </c>
      <c r="I138" s="90">
        <v>0</v>
      </c>
      <c r="J138" s="90">
        <v>0</v>
      </c>
      <c r="K138" s="90">
        <v>0</v>
      </c>
      <c r="L138" s="90">
        <v>0</v>
      </c>
      <c r="M138" s="90">
        <v>0</v>
      </c>
      <c r="N138" s="90">
        <v>0</v>
      </c>
      <c r="O138" s="90">
        <v>0</v>
      </c>
      <c r="P138" s="90">
        <v>0</v>
      </c>
      <c r="Q138" s="96">
        <f t="shared" si="26"/>
        <v>0</v>
      </c>
      <c r="R138" s="39" t="e">
        <f t="shared" si="25"/>
        <v>#DIV/0!</v>
      </c>
      <c r="S138" s="35"/>
      <c r="T138" s="40">
        <f t="shared" si="15"/>
        <v>0</v>
      </c>
    </row>
    <row r="139" spans="1:20" ht="26.25" customHeight="1">
      <c r="A139" s="5" t="s">
        <v>621</v>
      </c>
      <c r="B139" s="3" t="s">
        <v>704</v>
      </c>
      <c r="D139" s="26" t="s">
        <v>785</v>
      </c>
      <c r="E139" s="90">
        <f>Summary!E$1055</f>
        <v>0</v>
      </c>
      <c r="F139" s="90">
        <f>Summary!F$1055</f>
        <v>0</v>
      </c>
      <c r="G139" s="90">
        <f>Summary!G$1055</f>
        <v>0</v>
      </c>
      <c r="H139" s="90">
        <f>Summary!H$1055</f>
        <v>0</v>
      </c>
      <c r="I139" s="90">
        <f>Summary!I$1055</f>
        <v>0</v>
      </c>
      <c r="J139" s="90">
        <f>Summary!J$1055</f>
        <v>0</v>
      </c>
      <c r="K139" s="90">
        <f>Summary!K$1055</f>
        <v>0</v>
      </c>
      <c r="L139" s="90">
        <f>Summary!L$1055</f>
        <v>0</v>
      </c>
      <c r="M139" s="90">
        <f>Summary!M$1055</f>
        <v>0</v>
      </c>
      <c r="N139" s="90">
        <f>Summary!N$1055</f>
        <v>0</v>
      </c>
      <c r="O139" s="90">
        <f>Summary!O$1055</f>
        <v>0</v>
      </c>
      <c r="P139" s="90">
        <f>Summary!P$1055</f>
        <v>0</v>
      </c>
      <c r="Q139" s="96">
        <f t="shared" si="26"/>
        <v>0</v>
      </c>
      <c r="R139" s="39" t="e">
        <f t="shared" si="25"/>
        <v>#DIV/0!</v>
      </c>
      <c r="S139" s="35"/>
      <c r="T139" s="40">
        <f t="shared" si="15"/>
        <v>0</v>
      </c>
    </row>
    <row r="140" spans="1:20" ht="26.25" hidden="1" customHeight="1">
      <c r="A140" s="5" t="s">
        <v>346</v>
      </c>
      <c r="B140" s="3" t="s">
        <v>704</v>
      </c>
      <c r="D140" s="26" t="s">
        <v>786</v>
      </c>
      <c r="E140" s="90">
        <f>Summary!E$1056</f>
        <v>0</v>
      </c>
      <c r="F140" s="90">
        <f>Summary!F$1056</f>
        <v>0</v>
      </c>
      <c r="G140" s="90">
        <f>Summary!G$1056</f>
        <v>0</v>
      </c>
      <c r="H140" s="90">
        <f>Summary!H$1056</f>
        <v>0</v>
      </c>
      <c r="I140" s="90">
        <f>Summary!I$1056</f>
        <v>0</v>
      </c>
      <c r="J140" s="90">
        <f>Summary!J$1056</f>
        <v>0</v>
      </c>
      <c r="K140" s="90">
        <f>Summary!K$1056</f>
        <v>0</v>
      </c>
      <c r="L140" s="90">
        <f>Summary!L$1056</f>
        <v>0</v>
      </c>
      <c r="M140" s="90">
        <f>Summary!M$1056</f>
        <v>0</v>
      </c>
      <c r="N140" s="90">
        <f>Summary!N$1056</f>
        <v>0</v>
      </c>
      <c r="O140" s="90">
        <f>Summary!O$1056</f>
        <v>0</v>
      </c>
      <c r="P140" s="90">
        <f>Summary!P$1056</f>
        <v>0</v>
      </c>
      <c r="Q140" s="96">
        <f t="shared" si="26"/>
        <v>0</v>
      </c>
      <c r="R140" s="39" t="e">
        <f t="shared" si="25"/>
        <v>#DIV/0!</v>
      </c>
      <c r="S140" s="35"/>
      <c r="T140" s="40">
        <f t="shared" si="15"/>
        <v>0</v>
      </c>
    </row>
    <row r="141" spans="1:20" ht="26.25" customHeight="1">
      <c r="A141" s="5" t="s">
        <v>624</v>
      </c>
      <c r="B141" s="3" t="s">
        <v>704</v>
      </c>
      <c r="D141" s="26" t="s">
        <v>787</v>
      </c>
      <c r="E141" s="90">
        <f>Summary!E$1057</f>
        <v>0</v>
      </c>
      <c r="F141" s="90">
        <f>Summary!F$1057</f>
        <v>0</v>
      </c>
      <c r="G141" s="90">
        <f>Summary!G$1057</f>
        <v>0</v>
      </c>
      <c r="H141" s="90">
        <f>Summary!H$1057</f>
        <v>0</v>
      </c>
      <c r="I141" s="90">
        <f>Summary!I$1057</f>
        <v>0</v>
      </c>
      <c r="J141" s="90">
        <f>Summary!J$1057</f>
        <v>0</v>
      </c>
      <c r="K141" s="90">
        <f>Summary!K$1057</f>
        <v>0</v>
      </c>
      <c r="L141" s="90">
        <f>Summary!L$1057</f>
        <v>0</v>
      </c>
      <c r="M141" s="90">
        <f>Summary!M$1057</f>
        <v>0</v>
      </c>
      <c r="N141" s="90">
        <f>Summary!N$1057</f>
        <v>0</v>
      </c>
      <c r="O141" s="90">
        <f>Summary!O$1057</f>
        <v>0</v>
      </c>
      <c r="P141" s="90">
        <f>Summary!P$1057</f>
        <v>0</v>
      </c>
      <c r="Q141" s="96">
        <f t="shared" si="26"/>
        <v>0</v>
      </c>
      <c r="R141" s="39" t="e">
        <f t="shared" si="25"/>
        <v>#DIV/0!</v>
      </c>
      <c r="S141" s="35"/>
      <c r="T141" s="40">
        <f t="shared" si="15"/>
        <v>0</v>
      </c>
    </row>
    <row r="142" spans="1:20" s="81" customFormat="1" ht="26.25" customHeight="1">
      <c r="D142" s="21" t="s">
        <v>788</v>
      </c>
      <c r="E142" s="105">
        <f>SUM(E135:E141)</f>
        <v>0</v>
      </c>
      <c r="F142" s="105">
        <f t="shared" ref="F142:Q142" si="27">SUM(F135:F141)</f>
        <v>0</v>
      </c>
      <c r="G142" s="105">
        <f t="shared" si="27"/>
        <v>0</v>
      </c>
      <c r="H142" s="105">
        <f t="shared" si="27"/>
        <v>0</v>
      </c>
      <c r="I142" s="105">
        <f t="shared" si="27"/>
        <v>0</v>
      </c>
      <c r="J142" s="105">
        <f t="shared" si="27"/>
        <v>0</v>
      </c>
      <c r="K142" s="105">
        <f t="shared" si="27"/>
        <v>0</v>
      </c>
      <c r="L142" s="105">
        <f t="shared" si="27"/>
        <v>0</v>
      </c>
      <c r="M142" s="105">
        <f t="shared" si="27"/>
        <v>0</v>
      </c>
      <c r="N142" s="105">
        <f t="shared" si="27"/>
        <v>0</v>
      </c>
      <c r="O142" s="105">
        <f t="shared" si="27"/>
        <v>0</v>
      </c>
      <c r="P142" s="105">
        <f t="shared" si="27"/>
        <v>0</v>
      </c>
      <c r="Q142" s="105">
        <f t="shared" si="27"/>
        <v>0</v>
      </c>
      <c r="R142" s="39" t="e">
        <f t="shared" si="25"/>
        <v>#DIV/0!</v>
      </c>
      <c r="S142" s="35"/>
      <c r="T142" s="40">
        <f t="shared" si="15"/>
        <v>0</v>
      </c>
    </row>
    <row r="143" spans="1:20" ht="26.25" customHeight="1">
      <c r="D143" s="21" t="s">
        <v>789</v>
      </c>
      <c r="E143" s="92">
        <f>E114+E123+E133+E142</f>
        <v>0</v>
      </c>
      <c r="F143" s="92">
        <f t="shared" ref="F143:Q143" si="28">F114+F123+F133+F142</f>
        <v>0</v>
      </c>
      <c r="G143" s="92">
        <f t="shared" si="28"/>
        <v>0</v>
      </c>
      <c r="H143" s="92">
        <f t="shared" si="28"/>
        <v>0</v>
      </c>
      <c r="I143" s="92">
        <f t="shared" si="28"/>
        <v>0</v>
      </c>
      <c r="J143" s="92">
        <f t="shared" si="28"/>
        <v>0</v>
      </c>
      <c r="K143" s="92">
        <f t="shared" si="28"/>
        <v>0</v>
      </c>
      <c r="L143" s="92">
        <f t="shared" si="28"/>
        <v>0</v>
      </c>
      <c r="M143" s="92">
        <f t="shared" si="28"/>
        <v>0</v>
      </c>
      <c r="N143" s="92">
        <f t="shared" si="28"/>
        <v>0</v>
      </c>
      <c r="O143" s="92">
        <f t="shared" si="28"/>
        <v>0</v>
      </c>
      <c r="P143" s="92">
        <f t="shared" si="28"/>
        <v>0</v>
      </c>
      <c r="Q143" s="92">
        <f t="shared" si="28"/>
        <v>0</v>
      </c>
      <c r="R143" s="39" t="e">
        <f t="shared" si="25"/>
        <v>#DIV/0!</v>
      </c>
      <c r="S143" s="35"/>
      <c r="T143" s="40">
        <f t="shared" si="15"/>
        <v>0</v>
      </c>
    </row>
    <row r="144" spans="1:20" ht="26.25" customHeight="1">
      <c r="D144" s="21"/>
      <c r="E144" s="67"/>
      <c r="F144" s="99"/>
      <c r="G144" s="67"/>
      <c r="H144" s="67"/>
      <c r="I144" s="67"/>
      <c r="J144" s="99"/>
      <c r="K144" s="67"/>
      <c r="L144" s="102"/>
      <c r="M144" s="67"/>
      <c r="N144" s="99"/>
      <c r="O144" s="103"/>
      <c r="P144" s="103"/>
      <c r="Q144" s="103"/>
      <c r="S144" s="35"/>
      <c r="T144" s="40"/>
    </row>
    <row r="145" spans="1:20" ht="26.25" customHeight="1">
      <c r="A145" s="5" t="s">
        <v>108</v>
      </c>
      <c r="B145" s="3" t="s">
        <v>704</v>
      </c>
      <c r="D145" s="21" t="s">
        <v>790</v>
      </c>
      <c r="E145" s="92">
        <f>Summary!E$1030</f>
        <v>0</v>
      </c>
      <c r="F145" s="92">
        <f>Summary!F$1030</f>
        <v>0</v>
      </c>
      <c r="G145" s="92">
        <f>Summary!G$1030</f>
        <v>0</v>
      </c>
      <c r="H145" s="92">
        <f>Summary!H$1030</f>
        <v>0</v>
      </c>
      <c r="I145" s="92">
        <f>Summary!I$1030</f>
        <v>0</v>
      </c>
      <c r="J145" s="92">
        <f>Summary!J$1030</f>
        <v>0</v>
      </c>
      <c r="K145" s="92">
        <f>Summary!K$1030</f>
        <v>0</v>
      </c>
      <c r="L145" s="92">
        <f>Summary!L$1030</f>
        <v>0</v>
      </c>
      <c r="M145" s="92">
        <f>Summary!M$1030</f>
        <v>0</v>
      </c>
      <c r="N145" s="92">
        <f>Summary!N$1030</f>
        <v>0</v>
      </c>
      <c r="O145" s="92">
        <f>Summary!O$1030</f>
        <v>0</v>
      </c>
      <c r="P145" s="92">
        <f>Summary!P$1030</f>
        <v>0</v>
      </c>
      <c r="Q145" s="78">
        <f>SUM(E145:P145)/12</f>
        <v>0</v>
      </c>
      <c r="S145" s="35"/>
      <c r="T145" s="40">
        <f t="shared" si="15"/>
        <v>0</v>
      </c>
    </row>
    <row r="146" spans="1:20" ht="26.25" customHeight="1">
      <c r="H146" s="90"/>
      <c r="I146" s="90"/>
      <c r="S146" s="35"/>
      <c r="T146" s="40"/>
    </row>
    <row r="147" spans="1:20" ht="26.25" customHeight="1">
      <c r="S147" s="35"/>
      <c r="T147" s="40"/>
    </row>
    <row r="148" spans="1:20" ht="26.25" customHeight="1">
      <c r="D148" s="26" t="s">
        <v>133</v>
      </c>
      <c r="S148" s="35"/>
      <c r="T148" s="40"/>
    </row>
    <row r="149" spans="1:20" ht="26.25" customHeight="1">
      <c r="D149" s="26" t="s">
        <v>842</v>
      </c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>
        <f t="shared" ref="Q149:Q152" si="29">SUM(E149:P149)</f>
        <v>0</v>
      </c>
      <c r="S149" s="35"/>
      <c r="T149" s="40">
        <f t="shared" ref="T149:T155" si="30">IF(Q149-S149=0,0,(Q149-S149)/S149)</f>
        <v>0</v>
      </c>
    </row>
    <row r="150" spans="1:20" ht="26.25" customHeight="1">
      <c r="D150" s="26" t="s">
        <v>134</v>
      </c>
      <c r="E150" s="106">
        <f>+E149</f>
        <v>0</v>
      </c>
      <c r="F150" s="106">
        <f t="shared" ref="F150:Q150" si="31">+F149</f>
        <v>0</v>
      </c>
      <c r="G150" s="106">
        <f t="shared" si="31"/>
        <v>0</v>
      </c>
      <c r="H150" s="106">
        <f t="shared" si="31"/>
        <v>0</v>
      </c>
      <c r="I150" s="106">
        <f t="shared" si="31"/>
        <v>0</v>
      </c>
      <c r="J150" s="106">
        <f t="shared" si="31"/>
        <v>0</v>
      </c>
      <c r="K150" s="106">
        <f t="shared" si="31"/>
        <v>0</v>
      </c>
      <c r="L150" s="106">
        <f t="shared" si="31"/>
        <v>0</v>
      </c>
      <c r="M150" s="106">
        <f t="shared" si="31"/>
        <v>0</v>
      </c>
      <c r="N150" s="106">
        <f t="shared" si="31"/>
        <v>0</v>
      </c>
      <c r="O150" s="106">
        <f t="shared" si="31"/>
        <v>0</v>
      </c>
      <c r="P150" s="106">
        <f t="shared" si="31"/>
        <v>0</v>
      </c>
      <c r="Q150" s="106">
        <f t="shared" si="31"/>
        <v>0</v>
      </c>
      <c r="S150" s="35"/>
      <c r="T150" s="40">
        <f t="shared" si="30"/>
        <v>0</v>
      </c>
    </row>
    <row r="151" spans="1:20" ht="26.25" customHeight="1">
      <c r="D151" s="26" t="s">
        <v>135</v>
      </c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>
        <f t="shared" si="29"/>
        <v>0</v>
      </c>
      <c r="S151" s="35"/>
      <c r="T151" s="40">
        <f t="shared" si="30"/>
        <v>0</v>
      </c>
    </row>
    <row r="152" spans="1:20" ht="26.25" customHeight="1">
      <c r="D152" s="26" t="s">
        <v>843</v>
      </c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>
        <f t="shared" si="29"/>
        <v>0</v>
      </c>
      <c r="S152" s="35"/>
      <c r="T152" s="40">
        <f t="shared" si="30"/>
        <v>0</v>
      </c>
    </row>
    <row r="153" spans="1:20" ht="26.25" customHeight="1">
      <c r="D153" s="26" t="s">
        <v>844</v>
      </c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>
        <f t="shared" ref="Q153" si="32">SUM(E153:P153)</f>
        <v>0</v>
      </c>
      <c r="S153" s="35"/>
      <c r="T153" s="40">
        <f t="shared" si="30"/>
        <v>0</v>
      </c>
    </row>
    <row r="154" spans="1:20" ht="26.25" customHeight="1">
      <c r="D154" s="26" t="s">
        <v>136</v>
      </c>
      <c r="E154" s="107" t="e">
        <f>E150/E151</f>
        <v>#DIV/0!</v>
      </c>
      <c r="F154" s="107" t="e">
        <f t="shared" ref="F154:Q154" si="33">F150/F151</f>
        <v>#DIV/0!</v>
      </c>
      <c r="G154" s="107" t="e">
        <f t="shared" si="33"/>
        <v>#DIV/0!</v>
      </c>
      <c r="H154" s="107" t="e">
        <f t="shared" si="33"/>
        <v>#DIV/0!</v>
      </c>
      <c r="I154" s="107" t="e">
        <f t="shared" si="33"/>
        <v>#DIV/0!</v>
      </c>
      <c r="J154" s="107" t="e">
        <f t="shared" si="33"/>
        <v>#DIV/0!</v>
      </c>
      <c r="K154" s="107" t="e">
        <f t="shared" si="33"/>
        <v>#DIV/0!</v>
      </c>
      <c r="L154" s="107" t="e">
        <f t="shared" si="33"/>
        <v>#DIV/0!</v>
      </c>
      <c r="M154" s="107" t="e">
        <f t="shared" si="33"/>
        <v>#DIV/0!</v>
      </c>
      <c r="N154" s="107" t="e">
        <f t="shared" si="33"/>
        <v>#DIV/0!</v>
      </c>
      <c r="O154" s="107" t="e">
        <f t="shared" si="33"/>
        <v>#DIV/0!</v>
      </c>
      <c r="P154" s="107" t="e">
        <f t="shared" si="33"/>
        <v>#DIV/0!</v>
      </c>
      <c r="Q154" s="107" t="e">
        <f t="shared" si="33"/>
        <v>#DIV/0!</v>
      </c>
      <c r="S154" s="108"/>
      <c r="T154" s="40" t="e">
        <f t="shared" si="30"/>
        <v>#DIV/0!</v>
      </c>
    </row>
    <row r="155" spans="1:20" ht="26.25" customHeight="1">
      <c r="D155" s="26" t="s">
        <v>137</v>
      </c>
      <c r="E155" s="90" t="e">
        <f>+E15/E150</f>
        <v>#DIV/0!</v>
      </c>
      <c r="F155" s="90" t="e">
        <f t="shared" ref="F155:Q155" si="34">+F15/F150</f>
        <v>#DIV/0!</v>
      </c>
      <c r="G155" s="90" t="e">
        <f t="shared" si="34"/>
        <v>#DIV/0!</v>
      </c>
      <c r="H155" s="90" t="e">
        <f t="shared" si="34"/>
        <v>#DIV/0!</v>
      </c>
      <c r="I155" s="90" t="e">
        <f t="shared" si="34"/>
        <v>#DIV/0!</v>
      </c>
      <c r="J155" s="90" t="e">
        <f t="shared" si="34"/>
        <v>#DIV/0!</v>
      </c>
      <c r="K155" s="90" t="e">
        <f t="shared" si="34"/>
        <v>#DIV/0!</v>
      </c>
      <c r="L155" s="90" t="e">
        <f t="shared" si="34"/>
        <v>#DIV/0!</v>
      </c>
      <c r="M155" s="90" t="e">
        <f t="shared" si="34"/>
        <v>#DIV/0!</v>
      </c>
      <c r="N155" s="90" t="e">
        <f t="shared" si="34"/>
        <v>#DIV/0!</v>
      </c>
      <c r="O155" s="90" t="e">
        <f t="shared" si="34"/>
        <v>#DIV/0!</v>
      </c>
      <c r="P155" s="90" t="e">
        <f t="shared" si="34"/>
        <v>#DIV/0!</v>
      </c>
      <c r="Q155" s="90" t="e">
        <f t="shared" si="34"/>
        <v>#DIV/0!</v>
      </c>
      <c r="S155" s="35"/>
      <c r="T155" s="40" t="e">
        <f t="shared" si="30"/>
        <v>#DIV/0!</v>
      </c>
    </row>
  </sheetData>
  <phoneticPr fontId="56" type="noConversion"/>
  <dataValidations count="21">
    <dataValidation type="textLength" errorStyle="information" allowBlank="1" showInputMessage="1" showErrorMessage="1" error="XLBVal:6=3239.86_x000d__x000a_" sqref="E34:Q34 E36:P37">
      <formula1>0</formula1>
      <formula2>300</formula2>
    </dataValidation>
    <dataValidation type="textLength" errorStyle="information" allowBlank="1" showInputMessage="1" showErrorMessage="1" error="XLBVal:6=495880_x000d__x000a_" sqref="P13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2=0_x000d__x000a_" sqref="E12:P12 E13:L13 E14:P14 E35:P35 E108:L108 E145:P145 Q12:Q14 Q18:Q33 Q35:Q106 Q125:Q133 Q135:Q141 E112:Q113 E131:P133 E38:P65 E135:P138 E97:P106 E67:P95 E17:P33 E116:Q120 Q121:Q122">
      <formula1>0</formula1>
      <formula2>300</formula2>
    </dataValidation>
    <dataValidation type="textLength" errorStyle="information" allowBlank="1" showInputMessage="1" showErrorMessage="1" error="XLBVal:6=433257_x000d__x000a_" sqref="M13">
      <formula1>0</formula1>
      <formula2>300</formula2>
    </dataValidation>
    <dataValidation type="textLength" errorStyle="information" allowBlank="1" showInputMessage="1" showErrorMessage="1" error="XLBVal:6=28280_x000d__x000a_" sqref="Q17">
      <formula1>0</formula1>
      <formula2>300</formula2>
    </dataValidation>
    <dataValidation type="textLength" errorStyle="information" allowBlank="1" showInputMessage="1" showErrorMessage="1" error="XLBVal:6=451440_x000d__x000a_" sqref="N13">
      <formula1>0</formula1>
      <formula2>300</formula2>
    </dataValidation>
    <dataValidation type="textLength" errorStyle="information" allowBlank="1" showInputMessage="1" showErrorMessage="1" error="XLBVal:6=466180_x000d__x000a_" sqref="O13">
      <formula1>0</formula1>
      <formula2>300</formula2>
    </dataValidation>
    <dataValidation type="textLength" errorStyle="information" allowBlank="1" showInputMessage="1" showErrorMessage="1" error="XLBVal:6=40_x000d__x000a_" sqref="E66:P66">
      <formula1>0</formula1>
      <formula2>300</formula2>
    </dataValidation>
    <dataValidation type="textLength" errorStyle="information" allowBlank="1" showInputMessage="1" showErrorMessage="1" error="XLBVal:6=169_x000d__x000a_" sqref="E96:P96">
      <formula1>0</formula1>
      <formula2>300</formula2>
    </dataValidation>
    <dataValidation type="textLength" errorStyle="information" allowBlank="1" showInputMessage="1" showErrorMessage="1" error="XLBVal:6=-419926.91_x000d__x000a_" sqref="M108">
      <formula1>0</formula1>
      <formula2>300</formula2>
    </dataValidation>
    <dataValidation type="textLength" errorStyle="information" allowBlank="1" showInputMessage="1" showErrorMessage="1" error="XLBVal:6=-438089.91_x000d__x000a_" sqref="N108">
      <formula1>0</formula1>
      <formula2>300</formula2>
    </dataValidation>
    <dataValidation type="textLength" errorStyle="information" allowBlank="1" showInputMessage="1" showErrorMessage="1" error="XLBVal:6=-482481.02_x000d__x000a_" sqref="P108">
      <formula1>0</formula1>
      <formula2>300</formula2>
    </dataValidation>
    <dataValidation type="textLength" errorStyle="information" allowBlank="1" showInputMessage="1" showErrorMessage="1" error="XLBVal:6=-452813.69_x000d__x000a_" sqref="O108">
      <formula1>0</formula1>
      <formula2>300</formula2>
    </dataValidation>
    <dataValidation type="textLength" errorStyle="information" allowBlank="1" showInputMessage="1" showErrorMessage="1" error="XLBVal:6=-1793311.53_x000d__x000a_" sqref="Q108">
      <formula1>0</formula1>
      <formula2>300</formula2>
    </dataValidation>
    <dataValidation type="textLength" errorStyle="information" allowBlank="1" showInputMessage="1" showErrorMessage="1" error="XLBVal:6=1260_x000d__x000a_" sqref="Q145">
      <formula1>0</formula1>
      <formula2>300</formula2>
    </dataValidation>
    <dataValidation type="textLength" errorStyle="information" allowBlank="1" showInputMessage="1" showErrorMessage="1" error="XLBVal:6=987.23_x000d__x000a_" sqref="E139:P141">
      <formula1>0</formula1>
      <formula2>300</formula2>
    </dataValidation>
    <dataValidation type="textLength" errorStyle="information" allowBlank="1" showInputMessage="1" showErrorMessage="1" error="XLBVal:6=980_x000d__x000a_" sqref="E125:P130">
      <formula1>0</formula1>
      <formula2>300</formula2>
    </dataValidation>
    <dataValidation type="textLength" errorStyle="information" allowBlank="1" showInputMessage="1" showErrorMessage="1" error="XLBVal:6=6688509.16_x000d__x000a_" sqref="E15:Q16">
      <formula1>0</formula1>
      <formula2>300</formula2>
    </dataValidation>
    <dataValidation type="textLength" errorStyle="information" allowBlank="1" showInputMessage="1" showErrorMessage="1" error="XLBVal:5=1285238.57_x000d__x000a_" sqref="E149:Q155">
      <formula1>0</formula1>
      <formula2>300</formula2>
    </dataValidation>
    <dataValidation type="textLength" errorStyle="information" allowBlank="1" showInputMessage="1" showErrorMessage="1" error="XLBVal:6=800_x000d__x000a_" sqref="E121:P12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/>
  <headerFooter>
    <oddFooter>&amp;L&amp;"微软雅黑,Regular"&amp;F&amp;C&amp;"微软雅黑,Regular"Page &amp;P of &amp;N&amp;R&amp;"微软雅黑,Regular"&amp;D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W133"/>
  <sheetViews>
    <sheetView topLeftCell="D1" zoomScale="50" zoomScaleNormal="50" zoomScaleSheetLayoutView="40" workbookViewId="0">
      <pane xSplit="1" ySplit="10" topLeftCell="E117" activePane="bottomRight" state="frozen"/>
      <selection activeCell="D9" sqref="D9"/>
      <selection pane="topRight" activeCell="D9" sqref="D9"/>
      <selection pane="bottomLeft" activeCell="D9" sqref="D9"/>
      <selection pane="bottomRight" activeCell="D88" sqref="D88"/>
    </sheetView>
  </sheetViews>
  <sheetFormatPr defaultColWidth="8.90625" defaultRowHeight="26.25" customHeight="1" outlineLevelRow="1" outlineLevelCol="1"/>
  <cols>
    <col min="1" max="1" width="25.90625" style="5" hidden="1" customWidth="1" outlineLevel="1"/>
    <col min="2" max="3" width="15.453125" style="5" hidden="1" customWidth="1" outlineLevel="1"/>
    <col min="4" max="4" width="57.453125" style="6" customWidth="1" collapsed="1"/>
    <col min="5" max="5" width="22.90625" style="7" customWidth="1"/>
    <col min="6" max="6" width="22.90625" style="82" customWidth="1"/>
    <col min="7" max="7" width="22.90625" style="7" customWidth="1"/>
    <col min="8" max="8" width="22.90625" style="6" customWidth="1"/>
    <col min="9" max="9" width="22.90625" style="7" customWidth="1"/>
    <col min="10" max="10" width="22.90625" style="82" customWidth="1"/>
    <col min="11" max="11" width="22.90625" style="7" customWidth="1"/>
    <col min="12" max="12" width="22.90625" style="83" customWidth="1"/>
    <col min="13" max="13" width="22.90625" style="7" customWidth="1"/>
    <col min="14" max="14" width="22.90625" style="82" customWidth="1"/>
    <col min="15" max="16" width="22.90625" style="5" customWidth="1"/>
    <col min="17" max="17" width="25.36328125" style="5" customWidth="1"/>
    <col min="18" max="18" width="12.453125" style="5" customWidth="1"/>
    <col min="19" max="19" width="22.453125" style="8" hidden="1" customWidth="1"/>
    <col min="20" max="20" width="22.453125" style="5" hidden="1" customWidth="1"/>
    <col min="21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4.65" customHeight="1">
      <c r="D4" s="10" t="str">
        <f>Summary!$D$4</f>
        <v>Hotel Budget Report</v>
      </c>
      <c r="E4" s="11"/>
      <c r="F4" s="84"/>
      <c r="G4" s="11"/>
      <c r="H4" s="85"/>
      <c r="I4" s="12"/>
      <c r="J4" s="93"/>
      <c r="K4" s="13"/>
      <c r="L4" s="94"/>
      <c r="M4" s="13"/>
      <c r="N4" s="86"/>
      <c r="S4" s="33"/>
    </row>
    <row r="5" spans="1:20" s="2" customFormat="1" ht="24.65" customHeight="1">
      <c r="D5" s="10" t="str">
        <f>Summary!$D$5</f>
        <v>酒店预算报表</v>
      </c>
      <c r="E5" s="11"/>
      <c r="F5" s="84"/>
      <c r="G5" s="11"/>
      <c r="H5" s="85"/>
      <c r="I5" s="12"/>
      <c r="J5" s="93"/>
      <c r="K5" s="13"/>
      <c r="L5" s="94"/>
      <c r="M5" s="13"/>
      <c r="N5" s="86"/>
      <c r="S5" s="33"/>
    </row>
    <row r="6" spans="1:20" s="2" customFormat="1" ht="24.65" customHeight="1">
      <c r="D6" s="14" t="s">
        <v>691</v>
      </c>
      <c r="E6" s="13"/>
      <c r="F6" s="86"/>
      <c r="G6" s="13"/>
      <c r="H6" s="87"/>
      <c r="I6" s="13"/>
      <c r="J6" s="86"/>
      <c r="K6" s="13"/>
      <c r="L6" s="94"/>
      <c r="M6" s="13"/>
      <c r="N6" s="86"/>
      <c r="S6" s="33"/>
    </row>
    <row r="7" spans="1:20" s="2" customFormat="1" ht="24.65" customHeight="1">
      <c r="D7" s="199">
        <f>Parameter!H4</f>
        <v>2025</v>
      </c>
      <c r="E7" s="13"/>
      <c r="F7" s="86"/>
      <c r="G7" s="13"/>
      <c r="H7" s="87"/>
      <c r="I7" s="13"/>
      <c r="J7" s="86"/>
      <c r="K7" s="13"/>
      <c r="L7" s="94"/>
      <c r="M7" s="13"/>
      <c r="N7" s="86"/>
      <c r="S7" s="33"/>
    </row>
    <row r="8" spans="1:20" s="2" customFormat="1" ht="24.65" customHeight="1">
      <c r="D8" s="14"/>
      <c r="E8" s="13"/>
      <c r="F8" s="86"/>
      <c r="G8" s="13"/>
      <c r="H8" s="87"/>
      <c r="I8" s="13"/>
      <c r="J8" s="86"/>
      <c r="K8" s="13"/>
      <c r="L8" s="94"/>
      <c r="M8" s="13"/>
      <c r="N8" s="86"/>
      <c r="S8" s="33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4.75" customHeight="1">
      <c r="D11" s="21" t="s">
        <v>115</v>
      </c>
      <c r="E11" s="70"/>
      <c r="F11" s="88"/>
      <c r="G11" s="70"/>
      <c r="H11" s="88"/>
      <c r="I11" s="70"/>
      <c r="J11" s="88"/>
      <c r="K11" s="71"/>
      <c r="L11" s="95"/>
      <c r="M11" s="71"/>
      <c r="N11" s="88"/>
      <c r="S11" s="35"/>
    </row>
    <row r="12" spans="1:20" s="3" customFormat="1" ht="25.4" customHeight="1">
      <c r="A12" s="3" t="s">
        <v>689</v>
      </c>
      <c r="B12" s="3" t="s">
        <v>690</v>
      </c>
      <c r="D12" s="26" t="s">
        <v>809</v>
      </c>
      <c r="E12" s="27">
        <v>1800</v>
      </c>
      <c r="F12" s="27">
        <v>3200</v>
      </c>
      <c r="G12" s="27">
        <v>1800</v>
      </c>
      <c r="H12" s="27">
        <v>1800</v>
      </c>
      <c r="I12" s="27">
        <v>3200</v>
      </c>
      <c r="J12" s="27">
        <v>1800</v>
      </c>
      <c r="K12" s="27">
        <v>3200</v>
      </c>
      <c r="L12" s="27">
        <v>3200</v>
      </c>
      <c r="M12" s="27">
        <v>1800</v>
      </c>
      <c r="N12" s="27">
        <v>3200</v>
      </c>
      <c r="O12" s="27">
        <v>3200</v>
      </c>
      <c r="P12" s="27">
        <v>1800</v>
      </c>
      <c r="Q12" s="27">
        <f>SUM(E12:P12)</f>
        <v>30000</v>
      </c>
      <c r="S12" s="35"/>
      <c r="T12" s="40" t="e">
        <f>IF(Q12-S12=0,0,(Q12-S12)/S12)</f>
        <v>#DIV/0!</v>
      </c>
    </row>
    <row r="13" spans="1:20" s="3" customFormat="1" ht="25.4" customHeight="1">
      <c r="A13" s="3" t="s">
        <v>810</v>
      </c>
      <c r="B13" s="3" t="s">
        <v>690</v>
      </c>
      <c r="C13" s="3" t="s">
        <v>811</v>
      </c>
      <c r="D13" s="26" t="s">
        <v>746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f t="shared" ref="Q13:Q14" si="0">SUM(E13:P13)</f>
        <v>0</v>
      </c>
      <c r="S13" s="35"/>
      <c r="T13" s="40">
        <f t="shared" ref="T13:T72" si="1">IF(Q13-S13=0,0,(Q13-S13)/S13)</f>
        <v>0</v>
      </c>
    </row>
    <row r="14" spans="1:20" s="3" customFormat="1" ht="25.4" customHeight="1">
      <c r="A14" s="3" t="s">
        <v>747</v>
      </c>
      <c r="B14" s="3" t="s">
        <v>690</v>
      </c>
      <c r="D14" s="26" t="s">
        <v>748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f t="shared" si="0"/>
        <v>0</v>
      </c>
      <c r="S14" s="35"/>
      <c r="T14" s="40">
        <f t="shared" si="1"/>
        <v>0</v>
      </c>
    </row>
    <row r="15" spans="1:20" s="3" customFormat="1" ht="25.4" customHeight="1">
      <c r="D15" s="21" t="s">
        <v>655</v>
      </c>
      <c r="E15" s="30">
        <f>SUM(E12:E14)</f>
        <v>1800</v>
      </c>
      <c r="F15" s="30">
        <f t="shared" ref="F15:P15" si="2">SUM(F12:F14)</f>
        <v>3200</v>
      </c>
      <c r="G15" s="30">
        <f t="shared" si="2"/>
        <v>1800</v>
      </c>
      <c r="H15" s="30">
        <f t="shared" si="2"/>
        <v>1800</v>
      </c>
      <c r="I15" s="30">
        <f t="shared" si="2"/>
        <v>3200</v>
      </c>
      <c r="J15" s="30">
        <f t="shared" si="2"/>
        <v>1800</v>
      </c>
      <c r="K15" s="30">
        <f t="shared" si="2"/>
        <v>3200</v>
      </c>
      <c r="L15" s="30">
        <f t="shared" si="2"/>
        <v>3200</v>
      </c>
      <c r="M15" s="30">
        <f t="shared" si="2"/>
        <v>1800</v>
      </c>
      <c r="N15" s="30">
        <f t="shared" si="2"/>
        <v>3200</v>
      </c>
      <c r="O15" s="30">
        <f t="shared" si="2"/>
        <v>3200</v>
      </c>
      <c r="P15" s="30">
        <f t="shared" si="2"/>
        <v>1800</v>
      </c>
      <c r="Q15" s="30">
        <f t="shared" ref="Q15" si="3">SUM(Q12:Q14)</f>
        <v>30000</v>
      </c>
      <c r="S15" s="35"/>
      <c r="T15" s="40" t="e">
        <f t="shared" si="1"/>
        <v>#DIV/0!</v>
      </c>
    </row>
    <row r="16" spans="1:20" s="3" customFormat="1" ht="25.4" customHeight="1">
      <c r="D16" s="21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S16" s="35"/>
      <c r="T16" s="40"/>
    </row>
    <row r="17" spans="1:20" s="3" customFormat="1" ht="25.4" customHeight="1">
      <c r="D17" s="21" t="s">
        <v>411</v>
      </c>
      <c r="E17" s="27"/>
      <c r="F17" s="89"/>
      <c r="G17" s="27"/>
      <c r="H17" s="89"/>
      <c r="I17" s="27"/>
      <c r="J17" s="89"/>
      <c r="K17" s="27"/>
      <c r="L17" s="89"/>
      <c r="M17" s="27"/>
      <c r="N17" s="89"/>
      <c r="O17" s="96"/>
      <c r="P17" s="96"/>
      <c r="Q17" s="96"/>
      <c r="S17" s="35"/>
      <c r="T17" s="40">
        <f t="shared" si="1"/>
        <v>0</v>
      </c>
    </row>
    <row r="18" spans="1:20" s="3" customFormat="1" ht="25.4" hidden="1" customHeight="1">
      <c r="A18" s="3" t="s">
        <v>749</v>
      </c>
      <c r="B18" s="3" t="s">
        <v>690</v>
      </c>
      <c r="C18" s="3">
        <v>2801</v>
      </c>
      <c r="D18" s="26" t="s">
        <v>812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96">
        <f>SUM(E18:P18)</f>
        <v>0</v>
      </c>
      <c r="S18" s="35"/>
      <c r="T18" s="40">
        <f t="shared" si="1"/>
        <v>0</v>
      </c>
    </row>
    <row r="19" spans="1:20" s="3" customFormat="1" ht="25.4" hidden="1" customHeight="1">
      <c r="A19" s="3" t="s">
        <v>749</v>
      </c>
      <c r="B19" s="3" t="s">
        <v>690</v>
      </c>
      <c r="C19" s="3" t="s">
        <v>813</v>
      </c>
      <c r="D19" s="26" t="s">
        <v>809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96">
        <f t="shared" ref="Q19:Q21" si="4">SUM(E19:P19)</f>
        <v>0</v>
      </c>
      <c r="S19" s="35"/>
      <c r="T19" s="40">
        <f t="shared" si="1"/>
        <v>0</v>
      </c>
    </row>
    <row r="20" spans="1:20" s="3" customFormat="1" ht="25.4" customHeight="1">
      <c r="A20" s="3" t="s">
        <v>749</v>
      </c>
      <c r="B20" s="3" t="s">
        <v>690</v>
      </c>
      <c r="C20" s="3" t="s">
        <v>811</v>
      </c>
      <c r="D20" s="26" t="s">
        <v>746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96">
        <f t="shared" si="4"/>
        <v>0</v>
      </c>
      <c r="S20" s="35"/>
      <c r="T20" s="40">
        <f>-IF(Q20-S20=0,0,(Q20-S20)/S20)</f>
        <v>0</v>
      </c>
    </row>
    <row r="21" spans="1:20" s="19" customFormat="1" ht="25.4" customHeight="1">
      <c r="A21" s="3" t="s">
        <v>807</v>
      </c>
      <c r="B21" s="3" t="s">
        <v>690</v>
      </c>
      <c r="C21" s="3"/>
      <c r="D21" s="21" t="s">
        <v>755</v>
      </c>
      <c r="E21" s="91">
        <f>SUM(E18:E20)</f>
        <v>0</v>
      </c>
      <c r="F21" s="91">
        <f t="shared" ref="F21:P21" si="5">SUM(F18:F20)</f>
        <v>0</v>
      </c>
      <c r="G21" s="91">
        <f t="shared" si="5"/>
        <v>0</v>
      </c>
      <c r="H21" s="91">
        <f t="shared" si="5"/>
        <v>0</v>
      </c>
      <c r="I21" s="91">
        <f t="shared" si="5"/>
        <v>0</v>
      </c>
      <c r="J21" s="91">
        <f t="shared" si="5"/>
        <v>0</v>
      </c>
      <c r="K21" s="91">
        <f t="shared" si="5"/>
        <v>0</v>
      </c>
      <c r="L21" s="91">
        <f t="shared" si="5"/>
        <v>0</v>
      </c>
      <c r="M21" s="91">
        <f t="shared" si="5"/>
        <v>0</v>
      </c>
      <c r="N21" s="91">
        <f t="shared" si="5"/>
        <v>0</v>
      </c>
      <c r="O21" s="91">
        <f t="shared" si="5"/>
        <v>0</v>
      </c>
      <c r="P21" s="91">
        <f t="shared" si="5"/>
        <v>0</v>
      </c>
      <c r="Q21" s="111">
        <f t="shared" si="4"/>
        <v>0</v>
      </c>
      <c r="R21" s="39">
        <f>IF($Q$15=0,0,Q21/$Q$15)</f>
        <v>0</v>
      </c>
      <c r="S21" s="35"/>
      <c r="T21" s="40">
        <f>-IF(Q21-S21=0,0,(Q21-S21)/S21)</f>
        <v>0</v>
      </c>
    </row>
    <row r="22" spans="1:20" s="19" customFormat="1" ht="25.4" customHeight="1">
      <c r="A22" s="3"/>
      <c r="B22" s="3"/>
      <c r="C22" s="3"/>
      <c r="D22" s="21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6"/>
      <c r="R22" s="3"/>
      <c r="S22" s="35"/>
      <c r="T22" s="40"/>
    </row>
    <row r="23" spans="1:20" s="19" customFormat="1" ht="25.4" customHeight="1">
      <c r="A23" s="19" t="s">
        <v>466</v>
      </c>
      <c r="B23" s="19" t="s">
        <v>690</v>
      </c>
      <c r="D23" s="19" t="s">
        <v>756</v>
      </c>
      <c r="E23" s="92">
        <f>E131</f>
        <v>0</v>
      </c>
      <c r="F23" s="92">
        <f t="shared" ref="F23:P23" si="6">F131</f>
        <v>0</v>
      </c>
      <c r="G23" s="92">
        <f t="shared" si="6"/>
        <v>0</v>
      </c>
      <c r="H23" s="92">
        <f t="shared" si="6"/>
        <v>0</v>
      </c>
      <c r="I23" s="92">
        <f t="shared" si="6"/>
        <v>0</v>
      </c>
      <c r="J23" s="92">
        <f t="shared" si="6"/>
        <v>0</v>
      </c>
      <c r="K23" s="92">
        <f t="shared" si="6"/>
        <v>0</v>
      </c>
      <c r="L23" s="92">
        <f t="shared" si="6"/>
        <v>0</v>
      </c>
      <c r="M23" s="92">
        <f t="shared" si="6"/>
        <v>0</v>
      </c>
      <c r="N23" s="92">
        <f t="shared" si="6"/>
        <v>0</v>
      </c>
      <c r="O23" s="92">
        <f t="shared" si="6"/>
        <v>0</v>
      </c>
      <c r="P23" s="92">
        <f t="shared" si="6"/>
        <v>0</v>
      </c>
      <c r="Q23" s="97">
        <f>SUM(E23:P23)</f>
        <v>0</v>
      </c>
      <c r="R23" s="39">
        <f>IF($Q$15=0,0,Q23/$Q$15)</f>
        <v>0</v>
      </c>
      <c r="S23" s="35"/>
      <c r="T23" s="40">
        <f>-IF(Q23-S23=0,0,(Q23-S23)/S23)</f>
        <v>0</v>
      </c>
    </row>
    <row r="24" spans="1:20" s="19" customFormat="1" ht="25.4" customHeight="1">
      <c r="D24" s="26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6"/>
      <c r="R24" s="3"/>
      <c r="S24" s="35"/>
      <c r="T24" s="40"/>
    </row>
    <row r="25" spans="1:20" s="19" customFormat="1" ht="25.4" customHeight="1">
      <c r="D25" s="21" t="s">
        <v>757</v>
      </c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6"/>
      <c r="R25" s="3"/>
      <c r="S25" s="35"/>
      <c r="T25" s="40"/>
    </row>
    <row r="26" spans="1:20" s="19" customFormat="1" ht="25.4" customHeight="1">
      <c r="A26" s="19" t="s">
        <v>468</v>
      </c>
      <c r="B26" s="19" t="s">
        <v>690</v>
      </c>
      <c r="D26" s="26" t="s">
        <v>143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96">
        <f>SUM(E26:P26)</f>
        <v>0</v>
      </c>
      <c r="R26" s="3"/>
      <c r="S26" s="35"/>
      <c r="T26" s="40">
        <f t="shared" si="1"/>
        <v>0</v>
      </c>
    </row>
    <row r="27" spans="1:20" s="19" customFormat="1" ht="25.4" customHeight="1">
      <c r="A27" s="19" t="s">
        <v>470</v>
      </c>
      <c r="B27" s="19" t="s">
        <v>690</v>
      </c>
      <c r="D27" s="26" t="s">
        <v>145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96">
        <f t="shared" ref="Q27:Q90" si="7">SUM(E27:P27)</f>
        <v>0</v>
      </c>
      <c r="R27" s="3"/>
      <c r="S27" s="35"/>
      <c r="T27" s="40">
        <f t="shared" si="1"/>
        <v>0</v>
      </c>
    </row>
    <row r="28" spans="1:20" s="19" customFormat="1" ht="25.4" customHeight="1">
      <c r="A28" s="19" t="s">
        <v>472</v>
      </c>
      <c r="B28" s="19" t="s">
        <v>690</v>
      </c>
      <c r="D28" s="26" t="s">
        <v>147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96">
        <f t="shared" si="7"/>
        <v>0</v>
      </c>
      <c r="R28" s="3"/>
      <c r="S28" s="35"/>
      <c r="T28" s="40">
        <f t="shared" si="1"/>
        <v>0</v>
      </c>
    </row>
    <row r="29" spans="1:20" s="19" customFormat="1" ht="25.4" customHeight="1">
      <c r="A29" s="19" t="s">
        <v>474</v>
      </c>
      <c r="B29" s="19" t="s">
        <v>690</v>
      </c>
      <c r="D29" s="26" t="s">
        <v>149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96">
        <f t="shared" si="7"/>
        <v>0</v>
      </c>
      <c r="R29" s="3"/>
      <c r="S29" s="35"/>
      <c r="T29" s="40">
        <f t="shared" si="1"/>
        <v>0</v>
      </c>
    </row>
    <row r="30" spans="1:20" s="19" customFormat="1" ht="25.4" customHeight="1">
      <c r="A30" s="19" t="s">
        <v>476</v>
      </c>
      <c r="B30" s="19" t="s">
        <v>690</v>
      </c>
      <c r="D30" s="26" t="s">
        <v>151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96">
        <f t="shared" si="7"/>
        <v>0</v>
      </c>
      <c r="R30" s="3"/>
      <c r="S30" s="35"/>
      <c r="T30" s="40">
        <f t="shared" si="1"/>
        <v>0</v>
      </c>
    </row>
    <row r="31" spans="1:20" s="19" customFormat="1" ht="25.4" customHeight="1">
      <c r="A31" s="19" t="s">
        <v>478</v>
      </c>
      <c r="B31" s="19" t="s">
        <v>690</v>
      </c>
      <c r="D31" s="26" t="s">
        <v>153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96">
        <f t="shared" si="7"/>
        <v>0</v>
      </c>
      <c r="R31" s="3"/>
      <c r="S31" s="35"/>
      <c r="T31" s="40">
        <f t="shared" si="1"/>
        <v>0</v>
      </c>
    </row>
    <row r="32" spans="1:20" s="19" customFormat="1" ht="25.4" customHeight="1">
      <c r="A32" s="19" t="s">
        <v>480</v>
      </c>
      <c r="B32" s="19" t="s">
        <v>690</v>
      </c>
      <c r="D32" s="26" t="s">
        <v>155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96">
        <f t="shared" si="7"/>
        <v>0</v>
      </c>
      <c r="R32" s="3"/>
      <c r="S32" s="35"/>
      <c r="T32" s="40">
        <f t="shared" si="1"/>
        <v>0</v>
      </c>
    </row>
    <row r="33" spans="1:20" s="19" customFormat="1" ht="25.4" customHeight="1">
      <c r="A33" s="19" t="s">
        <v>482</v>
      </c>
      <c r="B33" s="19" t="s">
        <v>690</v>
      </c>
      <c r="D33" s="26" t="s">
        <v>157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96">
        <f t="shared" si="7"/>
        <v>0</v>
      </c>
      <c r="R33" s="3"/>
      <c r="S33" s="35"/>
      <c r="T33" s="40">
        <f t="shared" si="1"/>
        <v>0</v>
      </c>
    </row>
    <row r="34" spans="1:20" s="19" customFormat="1" ht="25.4" customHeight="1">
      <c r="A34" s="19" t="s">
        <v>484</v>
      </c>
      <c r="B34" s="19" t="s">
        <v>690</v>
      </c>
      <c r="D34" s="26" t="s">
        <v>159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96">
        <f t="shared" si="7"/>
        <v>0</v>
      </c>
      <c r="R34" s="3"/>
      <c r="S34" s="35"/>
      <c r="T34" s="40">
        <f t="shared" si="1"/>
        <v>0</v>
      </c>
    </row>
    <row r="35" spans="1:20" s="19" customFormat="1" ht="25.4" hidden="1" customHeight="1">
      <c r="A35" s="19" t="s">
        <v>486</v>
      </c>
      <c r="B35" s="19" t="s">
        <v>690</v>
      </c>
      <c r="D35" s="26" t="s">
        <v>161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96">
        <f t="shared" si="7"/>
        <v>0</v>
      </c>
      <c r="R35" s="3"/>
      <c r="S35" s="35"/>
      <c r="T35" s="40">
        <f t="shared" si="1"/>
        <v>0</v>
      </c>
    </row>
    <row r="36" spans="1:20" s="19" customFormat="1" ht="25.4" hidden="1" customHeight="1">
      <c r="A36" s="19" t="s">
        <v>488</v>
      </c>
      <c r="B36" s="19" t="s">
        <v>690</v>
      </c>
      <c r="D36" s="26" t="s">
        <v>163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96">
        <f t="shared" si="7"/>
        <v>0</v>
      </c>
      <c r="R36" s="3"/>
      <c r="S36" s="35"/>
      <c r="T36" s="40">
        <f t="shared" si="1"/>
        <v>0</v>
      </c>
    </row>
    <row r="37" spans="1:20" s="19" customFormat="1" ht="25.4" hidden="1" customHeight="1">
      <c r="A37" s="19" t="s">
        <v>490</v>
      </c>
      <c r="B37" s="19" t="s">
        <v>690</v>
      </c>
      <c r="D37" s="26" t="s">
        <v>165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96">
        <f t="shared" si="7"/>
        <v>0</v>
      </c>
      <c r="R37" s="3"/>
      <c r="S37" s="35"/>
      <c r="T37" s="40">
        <f t="shared" si="1"/>
        <v>0</v>
      </c>
    </row>
    <row r="38" spans="1:20" s="19" customFormat="1" ht="25.4" hidden="1" customHeight="1">
      <c r="A38" s="19" t="s">
        <v>492</v>
      </c>
      <c r="B38" s="19" t="s">
        <v>690</v>
      </c>
      <c r="D38" s="26" t="s">
        <v>167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96">
        <f t="shared" si="7"/>
        <v>0</v>
      </c>
      <c r="R38" s="3"/>
      <c r="S38" s="35"/>
      <c r="T38" s="40">
        <f t="shared" si="1"/>
        <v>0</v>
      </c>
    </row>
    <row r="39" spans="1:20" s="19" customFormat="1" ht="25.4" hidden="1" customHeight="1">
      <c r="A39" s="19" t="s">
        <v>494</v>
      </c>
      <c r="B39" s="19" t="s">
        <v>690</v>
      </c>
      <c r="D39" s="26" t="s">
        <v>169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96">
        <f t="shared" si="7"/>
        <v>0</v>
      </c>
      <c r="R39" s="3"/>
      <c r="S39" s="35"/>
      <c r="T39" s="40">
        <f t="shared" si="1"/>
        <v>0</v>
      </c>
    </row>
    <row r="40" spans="1:20" s="3" customFormat="1" ht="25.4" hidden="1" customHeight="1">
      <c r="A40" s="3" t="s">
        <v>496</v>
      </c>
      <c r="B40" s="3" t="s">
        <v>690</v>
      </c>
      <c r="D40" s="26" t="s">
        <v>171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96">
        <f t="shared" si="7"/>
        <v>0</v>
      </c>
      <c r="S40" s="35"/>
      <c r="T40" s="40">
        <f t="shared" si="1"/>
        <v>0</v>
      </c>
    </row>
    <row r="41" spans="1:20" s="3" customFormat="1" ht="25.4" hidden="1" customHeight="1">
      <c r="A41" s="3" t="s">
        <v>497</v>
      </c>
      <c r="B41" s="3" t="s">
        <v>690</v>
      </c>
      <c r="D41" s="26" t="s">
        <v>173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96">
        <f t="shared" si="7"/>
        <v>0</v>
      </c>
      <c r="S41" s="35"/>
      <c r="T41" s="40">
        <f t="shared" si="1"/>
        <v>0</v>
      </c>
    </row>
    <row r="42" spans="1:20" s="3" customFormat="1" ht="25.4" hidden="1" customHeight="1">
      <c r="A42" s="254" t="s">
        <v>498</v>
      </c>
      <c r="B42" s="51" t="s">
        <v>690</v>
      </c>
      <c r="D42" s="26" t="s">
        <v>175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96">
        <f t="shared" si="7"/>
        <v>0</v>
      </c>
      <c r="S42" s="35"/>
      <c r="T42" s="40">
        <f t="shared" si="1"/>
        <v>0</v>
      </c>
    </row>
    <row r="43" spans="1:20" s="3" customFormat="1" ht="25.4" hidden="1" customHeight="1">
      <c r="A43" s="254" t="s">
        <v>500</v>
      </c>
      <c r="B43" s="51" t="s">
        <v>690</v>
      </c>
      <c r="D43" s="26" t="s">
        <v>177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96">
        <f t="shared" si="7"/>
        <v>0</v>
      </c>
      <c r="S43" s="35"/>
      <c r="T43" s="40">
        <f t="shared" si="1"/>
        <v>0</v>
      </c>
    </row>
    <row r="44" spans="1:20" s="3" customFormat="1" ht="25.4" hidden="1" customHeight="1">
      <c r="A44" s="3" t="s">
        <v>502</v>
      </c>
      <c r="B44" s="51" t="s">
        <v>690</v>
      </c>
      <c r="D44" s="26" t="s">
        <v>179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96">
        <f t="shared" si="7"/>
        <v>0</v>
      </c>
      <c r="S44" s="35"/>
      <c r="T44" s="40">
        <f t="shared" si="1"/>
        <v>0</v>
      </c>
    </row>
    <row r="45" spans="1:20" s="3" customFormat="1" ht="25.4" hidden="1" customHeight="1">
      <c r="A45" s="3" t="s">
        <v>504</v>
      </c>
      <c r="B45" s="51" t="s">
        <v>690</v>
      </c>
      <c r="D45" s="26" t="s">
        <v>181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96">
        <f t="shared" si="7"/>
        <v>0</v>
      </c>
      <c r="S45" s="35"/>
      <c r="T45" s="40">
        <f t="shared" si="1"/>
        <v>0</v>
      </c>
    </row>
    <row r="46" spans="1:20" s="3" customFormat="1" ht="25.4" hidden="1" customHeight="1">
      <c r="A46" s="254" t="s">
        <v>506</v>
      </c>
      <c r="B46" s="51" t="s">
        <v>690</v>
      </c>
      <c r="D46" s="26" t="s">
        <v>183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96">
        <f t="shared" si="7"/>
        <v>0</v>
      </c>
      <c r="S46" s="35"/>
      <c r="T46" s="40">
        <f t="shared" si="1"/>
        <v>0</v>
      </c>
    </row>
    <row r="47" spans="1:20" s="3" customFormat="1" ht="25.4" hidden="1" customHeight="1">
      <c r="A47" s="54" t="s">
        <v>508</v>
      </c>
      <c r="B47" s="51" t="s">
        <v>690</v>
      </c>
      <c r="D47" s="26" t="s">
        <v>185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96">
        <f t="shared" si="7"/>
        <v>0</v>
      </c>
      <c r="S47" s="35"/>
      <c r="T47" s="40">
        <f t="shared" si="1"/>
        <v>0</v>
      </c>
    </row>
    <row r="48" spans="1:20" s="3" customFormat="1" ht="25.4" hidden="1" customHeight="1">
      <c r="A48" s="254" t="s">
        <v>510</v>
      </c>
      <c r="B48" s="3" t="s">
        <v>690</v>
      </c>
      <c r="D48" s="26" t="s">
        <v>187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96">
        <f t="shared" si="7"/>
        <v>0</v>
      </c>
      <c r="S48" s="35"/>
      <c r="T48" s="40">
        <f t="shared" si="1"/>
        <v>0</v>
      </c>
    </row>
    <row r="49" spans="1:20" s="3" customFormat="1" ht="25.4" hidden="1" customHeight="1">
      <c r="A49" s="254" t="s">
        <v>512</v>
      </c>
      <c r="B49" s="51" t="s">
        <v>690</v>
      </c>
      <c r="D49" s="26" t="s">
        <v>189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96">
        <f t="shared" si="7"/>
        <v>0</v>
      </c>
      <c r="S49" s="35"/>
      <c r="T49" s="40">
        <f t="shared" si="1"/>
        <v>0</v>
      </c>
    </row>
    <row r="50" spans="1:20" s="3" customFormat="1" ht="25.4" hidden="1" customHeight="1">
      <c r="A50" s="254" t="s">
        <v>514</v>
      </c>
      <c r="B50" s="51" t="s">
        <v>690</v>
      </c>
      <c r="D50" s="26" t="s">
        <v>191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96">
        <f t="shared" si="7"/>
        <v>0</v>
      </c>
      <c r="S50" s="35"/>
      <c r="T50" s="40">
        <f t="shared" si="1"/>
        <v>0</v>
      </c>
    </row>
    <row r="51" spans="1:20" s="19" customFormat="1" ht="25.4" hidden="1" customHeight="1">
      <c r="A51" s="254" t="s">
        <v>516</v>
      </c>
      <c r="B51" s="51" t="s">
        <v>690</v>
      </c>
      <c r="D51" s="26" t="s">
        <v>193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96">
        <f t="shared" si="7"/>
        <v>0</v>
      </c>
      <c r="R51" s="3"/>
      <c r="S51" s="35"/>
      <c r="T51" s="40">
        <f t="shared" si="1"/>
        <v>0</v>
      </c>
    </row>
    <row r="52" spans="1:20" s="3" customFormat="1" ht="25.4" hidden="1" customHeight="1">
      <c r="A52" s="50" t="s">
        <v>518</v>
      </c>
      <c r="B52" s="3" t="s">
        <v>690</v>
      </c>
      <c r="D52" s="26" t="s">
        <v>195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96">
        <f t="shared" si="7"/>
        <v>0</v>
      </c>
      <c r="S52" s="35"/>
      <c r="T52" s="40">
        <f t="shared" si="1"/>
        <v>0</v>
      </c>
    </row>
    <row r="53" spans="1:20" s="3" customFormat="1" ht="25.4" customHeight="1">
      <c r="A53" s="254" t="s">
        <v>520</v>
      </c>
      <c r="B53" s="51" t="s">
        <v>690</v>
      </c>
      <c r="D53" s="26" t="s">
        <v>197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96">
        <f t="shared" si="7"/>
        <v>0</v>
      </c>
      <c r="S53" s="35"/>
      <c r="T53" s="40">
        <f t="shared" si="1"/>
        <v>0</v>
      </c>
    </row>
    <row r="54" spans="1:20" s="3" customFormat="1" ht="25.4" customHeight="1">
      <c r="A54" s="254" t="s">
        <v>522</v>
      </c>
      <c r="B54" s="51" t="s">
        <v>690</v>
      </c>
      <c r="D54" s="326" t="s">
        <v>199</v>
      </c>
      <c r="E54" s="27">
        <v>12</v>
      </c>
      <c r="F54" s="27">
        <v>12</v>
      </c>
      <c r="G54" s="27">
        <v>12</v>
      </c>
      <c r="H54" s="27">
        <v>12</v>
      </c>
      <c r="I54" s="27">
        <v>12</v>
      </c>
      <c r="J54" s="27">
        <v>12</v>
      </c>
      <c r="K54" s="27">
        <v>12</v>
      </c>
      <c r="L54" s="27">
        <v>12</v>
      </c>
      <c r="M54" s="27">
        <v>12</v>
      </c>
      <c r="N54" s="27">
        <v>12</v>
      </c>
      <c r="O54" s="27">
        <v>12</v>
      </c>
      <c r="P54" s="27">
        <v>12</v>
      </c>
      <c r="Q54" s="96">
        <f t="shared" si="7"/>
        <v>144</v>
      </c>
      <c r="S54" s="35"/>
      <c r="T54" s="40" t="e">
        <f t="shared" si="1"/>
        <v>#DIV/0!</v>
      </c>
    </row>
    <row r="55" spans="1:20" s="3" customFormat="1" ht="25.4" customHeight="1">
      <c r="A55" s="254" t="s">
        <v>524</v>
      </c>
      <c r="B55" s="51" t="s">
        <v>690</v>
      </c>
      <c r="D55" s="26" t="s">
        <v>201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96">
        <f t="shared" si="7"/>
        <v>0</v>
      </c>
      <c r="S55" s="35"/>
      <c r="T55" s="40">
        <f t="shared" si="1"/>
        <v>0</v>
      </c>
    </row>
    <row r="56" spans="1:20" s="3" customFormat="1" ht="25.4" customHeight="1">
      <c r="A56" s="254" t="s">
        <v>526</v>
      </c>
      <c r="B56" s="51" t="s">
        <v>690</v>
      </c>
      <c r="D56" s="26" t="s">
        <v>203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96">
        <f t="shared" si="7"/>
        <v>0</v>
      </c>
      <c r="S56" s="35"/>
      <c r="T56" s="40">
        <f t="shared" si="1"/>
        <v>0</v>
      </c>
    </row>
    <row r="57" spans="1:20" s="3" customFormat="1" ht="25.4" hidden="1" customHeight="1">
      <c r="A57" s="254" t="s">
        <v>528</v>
      </c>
      <c r="B57" s="51" t="s">
        <v>690</v>
      </c>
      <c r="D57" s="26" t="s">
        <v>205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96">
        <f t="shared" si="7"/>
        <v>0</v>
      </c>
      <c r="S57" s="35"/>
      <c r="T57" s="40">
        <f t="shared" si="1"/>
        <v>0</v>
      </c>
    </row>
    <row r="58" spans="1:20" s="3" customFormat="1" ht="25.4" hidden="1" customHeight="1">
      <c r="A58" s="254" t="s">
        <v>530</v>
      </c>
      <c r="B58" s="51" t="s">
        <v>690</v>
      </c>
      <c r="D58" s="26" t="s">
        <v>207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96">
        <f t="shared" si="7"/>
        <v>0</v>
      </c>
      <c r="S58" s="35"/>
      <c r="T58" s="40">
        <f t="shared" si="1"/>
        <v>0</v>
      </c>
    </row>
    <row r="59" spans="1:20" s="3" customFormat="1" ht="25.4" hidden="1" customHeight="1">
      <c r="A59" s="254" t="s">
        <v>532</v>
      </c>
      <c r="B59" s="51" t="s">
        <v>690</v>
      </c>
      <c r="D59" s="26" t="s">
        <v>209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96">
        <f t="shared" si="7"/>
        <v>0</v>
      </c>
      <c r="S59" s="35"/>
      <c r="T59" s="40">
        <f t="shared" si="1"/>
        <v>0</v>
      </c>
    </row>
    <row r="60" spans="1:20" s="3" customFormat="1" ht="25.4" hidden="1" customHeight="1">
      <c r="A60" s="254" t="s">
        <v>534</v>
      </c>
      <c r="B60" s="51" t="s">
        <v>690</v>
      </c>
      <c r="D60" s="26" t="s">
        <v>211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96">
        <f t="shared" si="7"/>
        <v>0</v>
      </c>
      <c r="S60" s="35"/>
      <c r="T60" s="40">
        <f t="shared" si="1"/>
        <v>0</v>
      </c>
    </row>
    <row r="61" spans="1:20" s="19" customFormat="1" ht="25.4" hidden="1" customHeight="1">
      <c r="A61" s="254" t="s">
        <v>536</v>
      </c>
      <c r="B61" s="51" t="s">
        <v>690</v>
      </c>
      <c r="D61" s="26" t="s">
        <v>213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96">
        <f t="shared" si="7"/>
        <v>0</v>
      </c>
      <c r="R61" s="3"/>
      <c r="S61" s="35"/>
      <c r="T61" s="40">
        <f t="shared" si="1"/>
        <v>0</v>
      </c>
    </row>
    <row r="62" spans="1:20" s="19" customFormat="1" ht="25.4" hidden="1" customHeight="1">
      <c r="A62" s="254" t="s">
        <v>538</v>
      </c>
      <c r="B62" s="51" t="s">
        <v>690</v>
      </c>
      <c r="D62" s="26" t="s">
        <v>215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96">
        <f t="shared" si="7"/>
        <v>0</v>
      </c>
      <c r="R62" s="3"/>
      <c r="S62" s="35"/>
      <c r="T62" s="40">
        <f t="shared" si="1"/>
        <v>0</v>
      </c>
    </row>
    <row r="63" spans="1:20" s="3" customFormat="1" ht="25.4" hidden="1" customHeight="1">
      <c r="A63" s="3" t="s">
        <v>540</v>
      </c>
      <c r="B63" s="51" t="s">
        <v>690</v>
      </c>
      <c r="D63" s="26" t="s">
        <v>217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96">
        <f t="shared" si="7"/>
        <v>0</v>
      </c>
      <c r="S63" s="35"/>
      <c r="T63" s="40">
        <f t="shared" si="1"/>
        <v>0</v>
      </c>
    </row>
    <row r="64" spans="1:20" s="3" customFormat="1" ht="25.4" hidden="1" customHeight="1">
      <c r="A64" s="3" t="s">
        <v>542</v>
      </c>
      <c r="B64" s="51" t="s">
        <v>690</v>
      </c>
      <c r="D64" s="26" t="s">
        <v>219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96">
        <f t="shared" si="7"/>
        <v>0</v>
      </c>
      <c r="S64" s="35"/>
      <c r="T64" s="40">
        <f t="shared" si="1"/>
        <v>0</v>
      </c>
    </row>
    <row r="65" spans="1:20" s="3" customFormat="1" ht="25.4" hidden="1" customHeight="1">
      <c r="A65" s="3" t="s">
        <v>544</v>
      </c>
      <c r="B65" s="51" t="s">
        <v>690</v>
      </c>
      <c r="D65" s="26" t="s">
        <v>221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96">
        <f t="shared" si="7"/>
        <v>0</v>
      </c>
      <c r="S65" s="35"/>
      <c r="T65" s="40">
        <f t="shared" si="1"/>
        <v>0</v>
      </c>
    </row>
    <row r="66" spans="1:20" s="3" customFormat="1" ht="25.4" hidden="1" customHeight="1">
      <c r="A66" s="3" t="s">
        <v>546</v>
      </c>
      <c r="B66" s="51" t="s">
        <v>690</v>
      </c>
      <c r="D66" s="26" t="s">
        <v>223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96">
        <f t="shared" si="7"/>
        <v>0</v>
      </c>
      <c r="S66" s="35"/>
      <c r="T66" s="40">
        <f t="shared" si="1"/>
        <v>0</v>
      </c>
    </row>
    <row r="67" spans="1:20" s="3" customFormat="1" ht="25.4" customHeight="1">
      <c r="A67" s="3" t="s">
        <v>548</v>
      </c>
      <c r="B67" s="51" t="s">
        <v>690</v>
      </c>
      <c r="D67" s="26" t="s">
        <v>225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96">
        <f t="shared" si="7"/>
        <v>0</v>
      </c>
      <c r="S67" s="35"/>
      <c r="T67" s="40">
        <f t="shared" si="1"/>
        <v>0</v>
      </c>
    </row>
    <row r="68" spans="1:20" s="3" customFormat="1" ht="25.4" customHeight="1">
      <c r="A68" s="3" t="s">
        <v>550</v>
      </c>
      <c r="B68" s="51" t="s">
        <v>690</v>
      </c>
      <c r="D68" s="26" t="s">
        <v>227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96">
        <f t="shared" si="7"/>
        <v>0</v>
      </c>
      <c r="S68" s="35"/>
      <c r="T68" s="40">
        <f t="shared" si="1"/>
        <v>0</v>
      </c>
    </row>
    <row r="69" spans="1:20" s="3" customFormat="1" ht="25.4" customHeight="1">
      <c r="A69" s="3" t="s">
        <v>552</v>
      </c>
      <c r="B69" s="51" t="s">
        <v>690</v>
      </c>
      <c r="D69" s="26" t="s">
        <v>229</v>
      </c>
      <c r="E69" s="27">
        <v>200</v>
      </c>
      <c r="F69" s="27">
        <v>400</v>
      </c>
      <c r="G69" s="27">
        <v>200</v>
      </c>
      <c r="H69" s="27">
        <v>200</v>
      </c>
      <c r="I69" s="27">
        <v>400</v>
      </c>
      <c r="J69" s="27">
        <v>200</v>
      </c>
      <c r="K69" s="27">
        <v>400</v>
      </c>
      <c r="L69" s="27">
        <v>400</v>
      </c>
      <c r="M69" s="27">
        <v>200</v>
      </c>
      <c r="N69" s="27">
        <v>400</v>
      </c>
      <c r="O69" s="27">
        <v>400</v>
      </c>
      <c r="P69" s="27">
        <v>200</v>
      </c>
      <c r="Q69" s="96">
        <f t="shared" si="7"/>
        <v>3600</v>
      </c>
      <c r="R69" s="39">
        <f t="shared" ref="R69:R72" si="8">IF($Q$15=0,0,Q69/$Q$15)</f>
        <v>0.12</v>
      </c>
      <c r="S69" s="35"/>
      <c r="T69" s="40" t="e">
        <f t="shared" si="1"/>
        <v>#DIV/0!</v>
      </c>
    </row>
    <row r="70" spans="1:20" s="3" customFormat="1" ht="25.4" customHeight="1">
      <c r="A70" s="3" t="s">
        <v>554</v>
      </c>
      <c r="B70" s="51" t="s">
        <v>690</v>
      </c>
      <c r="D70" s="26" t="s">
        <v>231</v>
      </c>
      <c r="E70" s="27">
        <v>100</v>
      </c>
      <c r="F70" s="27">
        <v>200</v>
      </c>
      <c r="G70" s="27">
        <v>100</v>
      </c>
      <c r="H70" s="27">
        <v>100</v>
      </c>
      <c r="I70" s="27">
        <v>200</v>
      </c>
      <c r="J70" s="27">
        <v>100</v>
      </c>
      <c r="K70" s="27">
        <v>200</v>
      </c>
      <c r="L70" s="27">
        <v>200</v>
      </c>
      <c r="M70" s="27">
        <v>100</v>
      </c>
      <c r="N70" s="27">
        <v>200</v>
      </c>
      <c r="O70" s="27">
        <v>200</v>
      </c>
      <c r="P70" s="27">
        <v>100</v>
      </c>
      <c r="Q70" s="96">
        <f t="shared" si="7"/>
        <v>1800</v>
      </c>
      <c r="R70" s="39">
        <f t="shared" si="8"/>
        <v>0.06</v>
      </c>
      <c r="S70" s="35"/>
      <c r="T70" s="40" t="e">
        <f t="shared" si="1"/>
        <v>#DIV/0!</v>
      </c>
    </row>
    <row r="71" spans="1:20" s="3" customFormat="1" ht="25.4" customHeight="1">
      <c r="A71" s="254" t="s">
        <v>556</v>
      </c>
      <c r="B71" s="51" t="s">
        <v>690</v>
      </c>
      <c r="D71" s="26" t="s">
        <v>233</v>
      </c>
      <c r="E71" s="90">
        <v>200</v>
      </c>
      <c r="F71" s="90">
        <v>200</v>
      </c>
      <c r="G71" s="90">
        <v>200</v>
      </c>
      <c r="H71" s="90">
        <v>200</v>
      </c>
      <c r="I71" s="90">
        <v>200</v>
      </c>
      <c r="J71" s="90">
        <v>200</v>
      </c>
      <c r="K71" s="90">
        <v>200</v>
      </c>
      <c r="L71" s="90">
        <v>200</v>
      </c>
      <c r="M71" s="90">
        <v>200</v>
      </c>
      <c r="N71" s="90">
        <v>200</v>
      </c>
      <c r="O71" s="90">
        <v>200</v>
      </c>
      <c r="P71" s="90">
        <v>200</v>
      </c>
      <c r="Q71" s="96">
        <f t="shared" si="7"/>
        <v>2400</v>
      </c>
      <c r="R71" s="39">
        <f t="shared" si="8"/>
        <v>0.08</v>
      </c>
      <c r="S71" s="35"/>
      <c r="T71" s="40" t="e">
        <f t="shared" si="1"/>
        <v>#DIV/0!</v>
      </c>
    </row>
    <row r="72" spans="1:20" s="3" customFormat="1" ht="25.4" customHeight="1">
      <c r="A72" s="254" t="s">
        <v>558</v>
      </c>
      <c r="B72" s="51" t="s">
        <v>690</v>
      </c>
      <c r="D72" s="26" t="s">
        <v>235</v>
      </c>
      <c r="E72" s="27">
        <v>1000</v>
      </c>
      <c r="F72" s="27">
        <v>1000</v>
      </c>
      <c r="G72" s="27">
        <v>1000</v>
      </c>
      <c r="H72" s="27">
        <v>1000</v>
      </c>
      <c r="I72" s="27">
        <v>1000</v>
      </c>
      <c r="J72" s="27">
        <v>1000</v>
      </c>
      <c r="K72" s="27">
        <v>1000</v>
      </c>
      <c r="L72" s="27">
        <v>1000</v>
      </c>
      <c r="M72" s="27">
        <v>1000</v>
      </c>
      <c r="N72" s="27">
        <v>1000</v>
      </c>
      <c r="O72" s="27">
        <v>1000</v>
      </c>
      <c r="P72" s="27">
        <v>1000</v>
      </c>
      <c r="Q72" s="96">
        <f t="shared" si="7"/>
        <v>12000</v>
      </c>
      <c r="R72" s="39">
        <f t="shared" si="8"/>
        <v>0.4</v>
      </c>
      <c r="S72" s="35"/>
      <c r="T72" s="40" t="e">
        <f t="shared" si="1"/>
        <v>#DIV/0!</v>
      </c>
    </row>
    <row r="73" spans="1:20" s="3" customFormat="1" ht="25.4" customHeight="1">
      <c r="A73" s="254" t="s">
        <v>422</v>
      </c>
      <c r="B73" s="51" t="s">
        <v>690</v>
      </c>
      <c r="D73" s="26" t="s">
        <v>423</v>
      </c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6">
        <f t="shared" si="7"/>
        <v>0</v>
      </c>
      <c r="R73" s="39">
        <f>IF($Q$15=0,0,Q73/$Q$15)</f>
        <v>0</v>
      </c>
      <c r="S73" s="35"/>
      <c r="T73" s="40">
        <f>-IF(Q73-S73=0,0,(Q73-S73)/S73)</f>
        <v>0</v>
      </c>
    </row>
    <row r="74" spans="1:20" ht="26.25" customHeight="1">
      <c r="A74" s="5" t="s">
        <v>560</v>
      </c>
      <c r="B74" s="5" t="s">
        <v>690</v>
      </c>
      <c r="D74" s="26" t="s">
        <v>237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96">
        <f t="shared" si="7"/>
        <v>0</v>
      </c>
      <c r="R74" s="39">
        <f t="shared" ref="R74:R95" si="9">IF($Q$15=0,0,Q74/$Q$15)</f>
        <v>0</v>
      </c>
      <c r="S74" s="35"/>
      <c r="T74" s="40">
        <f t="shared" ref="T74:T94" si="10">-IF(Q74-S74=0,0,(Q74-S74)/S74)</f>
        <v>0</v>
      </c>
    </row>
    <row r="75" spans="1:20" ht="26.25" hidden="1" customHeight="1">
      <c r="A75" s="5" t="s">
        <v>562</v>
      </c>
      <c r="B75" s="5" t="s">
        <v>690</v>
      </c>
      <c r="D75" s="26" t="s">
        <v>239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96">
        <f t="shared" si="7"/>
        <v>0</v>
      </c>
      <c r="R75" s="39">
        <f t="shared" si="9"/>
        <v>0</v>
      </c>
      <c r="S75" s="35"/>
      <c r="T75" s="40">
        <f t="shared" si="10"/>
        <v>0</v>
      </c>
    </row>
    <row r="76" spans="1:20" ht="26.25" hidden="1" customHeight="1">
      <c r="A76" s="5" t="s">
        <v>564</v>
      </c>
      <c r="B76" s="5" t="s">
        <v>690</v>
      </c>
      <c r="D76" s="26" t="s">
        <v>241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96">
        <f t="shared" si="7"/>
        <v>0</v>
      </c>
      <c r="R76" s="39">
        <f t="shared" si="9"/>
        <v>0</v>
      </c>
      <c r="S76" s="35"/>
      <c r="T76" s="40">
        <f t="shared" si="10"/>
        <v>0</v>
      </c>
    </row>
    <row r="77" spans="1:20" ht="26.25" hidden="1" customHeight="1">
      <c r="A77" s="5" t="s">
        <v>566</v>
      </c>
      <c r="B77" s="5" t="s">
        <v>690</v>
      </c>
      <c r="D77" s="26" t="s">
        <v>243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96">
        <f t="shared" si="7"/>
        <v>0</v>
      </c>
      <c r="R77" s="39">
        <f t="shared" si="9"/>
        <v>0</v>
      </c>
      <c r="S77" s="35"/>
      <c r="T77" s="40">
        <f t="shared" si="10"/>
        <v>0</v>
      </c>
    </row>
    <row r="78" spans="1:20" ht="26.25" hidden="1" customHeight="1">
      <c r="A78" s="5" t="s">
        <v>568</v>
      </c>
      <c r="B78" s="5" t="s">
        <v>690</v>
      </c>
      <c r="D78" s="26" t="s">
        <v>245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96">
        <f t="shared" si="7"/>
        <v>0</v>
      </c>
      <c r="R78" s="39">
        <f t="shared" si="9"/>
        <v>0</v>
      </c>
      <c r="S78" s="35"/>
      <c r="T78" s="40">
        <f t="shared" si="10"/>
        <v>0</v>
      </c>
    </row>
    <row r="79" spans="1:20" ht="26.25" hidden="1" customHeight="1">
      <c r="A79" s="5" t="s">
        <v>570</v>
      </c>
      <c r="B79" s="5" t="s">
        <v>690</v>
      </c>
      <c r="D79" s="26" t="s">
        <v>247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96">
        <f t="shared" si="7"/>
        <v>0</v>
      </c>
      <c r="R79" s="39">
        <f t="shared" si="9"/>
        <v>0</v>
      </c>
      <c r="S79" s="35"/>
      <c r="T79" s="40">
        <f t="shared" si="10"/>
        <v>0</v>
      </c>
    </row>
    <row r="80" spans="1:20" ht="26.25" hidden="1" customHeight="1">
      <c r="A80" s="5" t="s">
        <v>572</v>
      </c>
      <c r="B80" s="5" t="s">
        <v>690</v>
      </c>
      <c r="D80" s="26" t="s">
        <v>249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96">
        <f t="shared" si="7"/>
        <v>0</v>
      </c>
      <c r="R80" s="39">
        <f t="shared" si="9"/>
        <v>0</v>
      </c>
      <c r="S80" s="35"/>
      <c r="T80" s="40">
        <f t="shared" si="10"/>
        <v>0</v>
      </c>
    </row>
    <row r="81" spans="1:23" ht="26.25" hidden="1" customHeight="1">
      <c r="A81" s="5" t="s">
        <v>574</v>
      </c>
      <c r="B81" s="5" t="s">
        <v>690</v>
      </c>
      <c r="D81" s="26" t="s">
        <v>251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96">
        <f t="shared" si="7"/>
        <v>0</v>
      </c>
      <c r="R81" s="39">
        <f t="shared" si="9"/>
        <v>0</v>
      </c>
      <c r="S81" s="35"/>
      <c r="T81" s="40">
        <f t="shared" si="10"/>
        <v>0</v>
      </c>
    </row>
    <row r="82" spans="1:23" ht="26.25" hidden="1" customHeight="1">
      <c r="A82" s="5" t="s">
        <v>576</v>
      </c>
      <c r="B82" s="5" t="s">
        <v>690</v>
      </c>
      <c r="D82" s="26" t="s">
        <v>253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96">
        <f t="shared" si="7"/>
        <v>0</v>
      </c>
      <c r="R82" s="39">
        <f t="shared" si="9"/>
        <v>0</v>
      </c>
      <c r="S82" s="35"/>
      <c r="T82" s="40">
        <f t="shared" si="10"/>
        <v>0</v>
      </c>
    </row>
    <row r="83" spans="1:23" ht="26.25" hidden="1" customHeight="1">
      <c r="A83" s="5" t="s">
        <v>578</v>
      </c>
      <c r="B83" s="5" t="s">
        <v>690</v>
      </c>
      <c r="D83" s="26" t="s">
        <v>255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96">
        <f t="shared" si="7"/>
        <v>0</v>
      </c>
      <c r="R83" s="39">
        <f t="shared" si="9"/>
        <v>0</v>
      </c>
      <c r="S83" s="35"/>
      <c r="T83" s="40">
        <f t="shared" si="10"/>
        <v>0</v>
      </c>
    </row>
    <row r="84" spans="1:23" ht="26.25" customHeight="1">
      <c r="A84" s="5" t="s">
        <v>580</v>
      </c>
      <c r="B84" s="5" t="s">
        <v>690</v>
      </c>
      <c r="D84" s="26" t="s">
        <v>257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96">
        <f t="shared" si="7"/>
        <v>0</v>
      </c>
      <c r="R84" s="39">
        <f t="shared" si="9"/>
        <v>0</v>
      </c>
      <c r="S84" s="35"/>
      <c r="T84" s="40">
        <f t="shared" si="10"/>
        <v>0</v>
      </c>
    </row>
    <row r="85" spans="1:23" ht="26.25" customHeight="1">
      <c r="A85" s="5" t="s">
        <v>582</v>
      </c>
      <c r="B85" s="5" t="s">
        <v>690</v>
      </c>
      <c r="D85" s="26" t="s">
        <v>259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96">
        <f t="shared" si="7"/>
        <v>0</v>
      </c>
      <c r="R85" s="39">
        <f t="shared" si="9"/>
        <v>0</v>
      </c>
      <c r="S85" s="35"/>
      <c r="T85" s="40">
        <f t="shared" si="10"/>
        <v>0</v>
      </c>
    </row>
    <row r="86" spans="1:23" ht="26.25" customHeight="1">
      <c r="A86" s="5" t="s">
        <v>584</v>
      </c>
      <c r="B86" s="5" t="s">
        <v>690</v>
      </c>
      <c r="D86" s="26" t="s">
        <v>261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96">
        <f t="shared" si="7"/>
        <v>0</v>
      </c>
      <c r="R86" s="39">
        <f t="shared" si="9"/>
        <v>0</v>
      </c>
      <c r="S86" s="35"/>
      <c r="T86" s="40">
        <f t="shared" si="10"/>
        <v>0</v>
      </c>
    </row>
    <row r="87" spans="1:23" ht="26.25" customHeight="1">
      <c r="A87" s="5" t="s">
        <v>586</v>
      </c>
      <c r="B87" s="5" t="s">
        <v>690</v>
      </c>
      <c r="D87" s="26" t="s">
        <v>263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96">
        <f t="shared" si="7"/>
        <v>0</v>
      </c>
      <c r="R87" s="39">
        <f t="shared" si="9"/>
        <v>0</v>
      </c>
      <c r="S87" s="35"/>
      <c r="T87" s="40">
        <f t="shared" si="10"/>
        <v>0</v>
      </c>
    </row>
    <row r="88" spans="1:23" ht="26.25" customHeight="1">
      <c r="A88" s="5" t="s">
        <v>588</v>
      </c>
      <c r="B88" s="5" t="s">
        <v>690</v>
      </c>
      <c r="D88" s="26" t="s">
        <v>265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96">
        <f t="shared" si="7"/>
        <v>0</v>
      </c>
      <c r="R88" s="39">
        <f t="shared" si="9"/>
        <v>0</v>
      </c>
      <c r="S88" s="35"/>
      <c r="T88" s="40">
        <f t="shared" si="10"/>
        <v>0</v>
      </c>
    </row>
    <row r="89" spans="1:23" ht="26.25" customHeight="1">
      <c r="A89" s="5" t="s">
        <v>590</v>
      </c>
      <c r="B89" s="5" t="s">
        <v>690</v>
      </c>
      <c r="D89" s="26" t="s">
        <v>267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96">
        <f t="shared" si="7"/>
        <v>0</v>
      </c>
      <c r="R89" s="39">
        <f t="shared" si="9"/>
        <v>0</v>
      </c>
      <c r="S89" s="35"/>
      <c r="T89" s="40">
        <f t="shared" si="10"/>
        <v>0</v>
      </c>
    </row>
    <row r="90" spans="1:23" ht="26.25" customHeight="1">
      <c r="A90" s="5" t="s">
        <v>592</v>
      </c>
      <c r="B90" s="5" t="s">
        <v>690</v>
      </c>
      <c r="D90" s="26" t="s">
        <v>269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96">
        <f t="shared" si="7"/>
        <v>0</v>
      </c>
      <c r="R90" s="39">
        <f t="shared" si="9"/>
        <v>0</v>
      </c>
      <c r="S90" s="35"/>
      <c r="T90" s="40">
        <f t="shared" si="10"/>
        <v>0</v>
      </c>
    </row>
    <row r="91" spans="1:23" ht="26.25" customHeight="1">
      <c r="A91" s="5" t="s">
        <v>270</v>
      </c>
      <c r="B91" s="5" t="s">
        <v>690</v>
      </c>
      <c r="D91" s="26" t="s">
        <v>271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96">
        <f>SUM(E91:P91)</f>
        <v>0</v>
      </c>
      <c r="R91" s="39">
        <f t="shared" si="9"/>
        <v>0</v>
      </c>
      <c r="S91" s="35"/>
      <c r="T91" s="40">
        <f t="shared" si="10"/>
        <v>0</v>
      </c>
    </row>
    <row r="92" spans="1:23" ht="26.25" customHeight="1">
      <c r="A92" s="5" t="s">
        <v>272</v>
      </c>
      <c r="B92" s="5" t="s">
        <v>690</v>
      </c>
      <c r="D92" s="26" t="s">
        <v>273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96">
        <f>SUM(E92:P92)</f>
        <v>0</v>
      </c>
      <c r="R92" s="39">
        <f t="shared" si="9"/>
        <v>0</v>
      </c>
      <c r="S92" s="35"/>
      <c r="T92" s="40">
        <f t="shared" si="10"/>
        <v>0</v>
      </c>
    </row>
    <row r="93" spans="1:23" ht="26.25" customHeight="1">
      <c r="A93" s="5" t="s">
        <v>595</v>
      </c>
      <c r="B93" s="5" t="s">
        <v>690</v>
      </c>
      <c r="D93" s="26" t="s">
        <v>275</v>
      </c>
      <c r="E93" s="27">
        <v>200</v>
      </c>
      <c r="F93" s="27">
        <v>200</v>
      </c>
      <c r="G93" s="27">
        <v>200</v>
      </c>
      <c r="H93" s="27">
        <v>200</v>
      </c>
      <c r="I93" s="27">
        <v>200</v>
      </c>
      <c r="J93" s="27">
        <v>200</v>
      </c>
      <c r="K93" s="27">
        <v>200</v>
      </c>
      <c r="L93" s="27">
        <v>200</v>
      </c>
      <c r="M93" s="27">
        <v>200</v>
      </c>
      <c r="N93" s="27">
        <v>200</v>
      </c>
      <c r="O93" s="27">
        <v>200</v>
      </c>
      <c r="P93" s="27">
        <v>200</v>
      </c>
      <c r="Q93" s="96">
        <f>SUM(E93:P93)</f>
        <v>2400</v>
      </c>
      <c r="R93" s="39">
        <f t="shared" si="9"/>
        <v>0.08</v>
      </c>
      <c r="S93" s="35"/>
      <c r="T93" s="40" t="e">
        <f t="shared" si="10"/>
        <v>#DIV/0!</v>
      </c>
    </row>
    <row r="94" spans="1:23" ht="26.25" customHeight="1">
      <c r="D94" s="21" t="s">
        <v>758</v>
      </c>
      <c r="E94" s="91">
        <f>SUM(E26:E93)</f>
        <v>1712</v>
      </c>
      <c r="F94" s="91">
        <f t="shared" ref="F94:Q94" si="11">SUM(F26:F93)</f>
        <v>2012</v>
      </c>
      <c r="G94" s="91">
        <f t="shared" si="11"/>
        <v>1712</v>
      </c>
      <c r="H94" s="91">
        <f t="shared" si="11"/>
        <v>1712</v>
      </c>
      <c r="I94" s="91">
        <f t="shared" si="11"/>
        <v>2012</v>
      </c>
      <c r="J94" s="91">
        <f t="shared" si="11"/>
        <v>1712</v>
      </c>
      <c r="K94" s="91">
        <f t="shared" si="11"/>
        <v>2012</v>
      </c>
      <c r="L94" s="91">
        <f t="shared" si="11"/>
        <v>2012</v>
      </c>
      <c r="M94" s="91">
        <f t="shared" si="11"/>
        <v>1712</v>
      </c>
      <c r="N94" s="91">
        <f t="shared" si="11"/>
        <v>2012</v>
      </c>
      <c r="O94" s="91">
        <f t="shared" si="11"/>
        <v>2012</v>
      </c>
      <c r="P94" s="91">
        <f t="shared" si="11"/>
        <v>1712</v>
      </c>
      <c r="Q94" s="91">
        <f t="shared" si="11"/>
        <v>22344</v>
      </c>
      <c r="R94" s="39">
        <f t="shared" si="9"/>
        <v>0.74480000000000002</v>
      </c>
      <c r="S94" s="35"/>
      <c r="T94" s="40" t="e">
        <f t="shared" si="10"/>
        <v>#DIV/0!</v>
      </c>
    </row>
    <row r="95" spans="1:23" ht="26.25" customHeight="1">
      <c r="D95" s="21" t="s">
        <v>759</v>
      </c>
      <c r="E95" s="91">
        <f>E15-E21-E23-E94</f>
        <v>88</v>
      </c>
      <c r="F95" s="91">
        <f t="shared" ref="F95:Q95" si="12">F15-F21-F23-F94</f>
        <v>1188</v>
      </c>
      <c r="G95" s="91">
        <f t="shared" si="12"/>
        <v>88</v>
      </c>
      <c r="H95" s="91">
        <f t="shared" si="12"/>
        <v>88</v>
      </c>
      <c r="I95" s="91">
        <f t="shared" si="12"/>
        <v>1188</v>
      </c>
      <c r="J95" s="91">
        <f t="shared" si="12"/>
        <v>88</v>
      </c>
      <c r="K95" s="91">
        <f t="shared" si="12"/>
        <v>1188</v>
      </c>
      <c r="L95" s="91">
        <f t="shared" si="12"/>
        <v>1188</v>
      </c>
      <c r="M95" s="91">
        <f t="shared" si="12"/>
        <v>88</v>
      </c>
      <c r="N95" s="91">
        <f t="shared" si="12"/>
        <v>1188</v>
      </c>
      <c r="O95" s="91">
        <f t="shared" si="12"/>
        <v>1188</v>
      </c>
      <c r="P95" s="91">
        <f t="shared" si="12"/>
        <v>88</v>
      </c>
      <c r="Q95" s="91">
        <f t="shared" si="12"/>
        <v>7656</v>
      </c>
      <c r="R95" s="39">
        <f t="shared" si="9"/>
        <v>0.25519999999999998</v>
      </c>
      <c r="S95" s="35"/>
      <c r="T95" s="40" t="e">
        <f t="shared" ref="T95:T100" si="13">IF(Q95-S95=0,0,(Q95-S95)/S95)</f>
        <v>#DIV/0!</v>
      </c>
      <c r="W95" s="114"/>
    </row>
    <row r="96" spans="1:23" ht="26.25" customHeight="1">
      <c r="A96" s="5" t="s">
        <v>760</v>
      </c>
      <c r="B96" s="5" t="s">
        <v>690</v>
      </c>
      <c r="D96" s="21" t="s">
        <v>353</v>
      </c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S96" s="35"/>
      <c r="T96" s="40"/>
    </row>
    <row r="97" spans="1:20" ht="26.25" customHeight="1">
      <c r="E97" s="98">
        <f>IF(E15=0,0,E95/E15)</f>
        <v>4.8888888888888891E-2</v>
      </c>
      <c r="F97" s="98">
        <f t="shared" ref="F97:Q97" si="14">IF(F15=0,0,F95/F15)</f>
        <v>0.37125000000000002</v>
      </c>
      <c r="G97" s="98">
        <f t="shared" si="14"/>
        <v>4.8888888888888891E-2</v>
      </c>
      <c r="H97" s="98">
        <f t="shared" si="14"/>
        <v>4.8888888888888891E-2</v>
      </c>
      <c r="I97" s="98">
        <f t="shared" si="14"/>
        <v>0.37125000000000002</v>
      </c>
      <c r="J97" s="98">
        <f t="shared" si="14"/>
        <v>4.8888888888888891E-2</v>
      </c>
      <c r="K97" s="98">
        <f t="shared" si="14"/>
        <v>0.37125000000000002</v>
      </c>
      <c r="L97" s="98">
        <f t="shared" si="14"/>
        <v>0.37125000000000002</v>
      </c>
      <c r="M97" s="98">
        <f t="shared" si="14"/>
        <v>4.8888888888888891E-2</v>
      </c>
      <c r="N97" s="98">
        <f t="shared" si="14"/>
        <v>0.37125000000000002</v>
      </c>
      <c r="O97" s="98">
        <f t="shared" si="14"/>
        <v>0.37125000000000002</v>
      </c>
      <c r="P97" s="98">
        <f t="shared" si="14"/>
        <v>4.8888888888888891E-2</v>
      </c>
      <c r="Q97" s="98">
        <f t="shared" si="14"/>
        <v>0.25519999999999998</v>
      </c>
      <c r="S97" s="108"/>
      <c r="T97" s="40" t="e">
        <f t="shared" si="13"/>
        <v>#DIV/0!</v>
      </c>
    </row>
    <row r="98" spans="1:20" ht="26.25" customHeight="1">
      <c r="D98" s="21" t="s">
        <v>761</v>
      </c>
      <c r="E98" s="67"/>
      <c r="F98" s="99"/>
      <c r="G98" s="67"/>
      <c r="H98" s="100"/>
      <c r="I98" s="67"/>
      <c r="J98" s="99"/>
      <c r="K98" s="67"/>
      <c r="L98" s="102"/>
      <c r="M98" s="67"/>
      <c r="N98" s="99"/>
      <c r="O98" s="103"/>
      <c r="P98" s="103"/>
      <c r="Q98" s="103"/>
      <c r="S98" s="35"/>
      <c r="T98" s="40"/>
    </row>
    <row r="99" spans="1:20" ht="26.25" customHeight="1">
      <c r="D99" s="21" t="s">
        <v>762</v>
      </c>
      <c r="E99" s="67"/>
      <c r="F99" s="99"/>
      <c r="G99" s="67"/>
      <c r="H99" s="100"/>
      <c r="I99" s="67"/>
      <c r="J99" s="99"/>
      <c r="K99" s="67"/>
      <c r="L99" s="102"/>
      <c r="M99" s="67"/>
      <c r="N99" s="99"/>
      <c r="O99" s="103"/>
      <c r="P99" s="103"/>
      <c r="Q99" s="103"/>
      <c r="S99" s="35"/>
      <c r="T99" s="40"/>
    </row>
    <row r="100" spans="1:20" ht="26.25" customHeight="1">
      <c r="A100" s="5" t="s">
        <v>297</v>
      </c>
      <c r="B100" s="5" t="s">
        <v>690</v>
      </c>
      <c r="D100" s="26" t="s">
        <v>763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96">
        <f>SUM(E100:P100)</f>
        <v>0</v>
      </c>
      <c r="S100" s="35"/>
      <c r="T100" s="40">
        <f t="shared" si="13"/>
        <v>0</v>
      </c>
    </row>
    <row r="101" spans="1:20" ht="26.25" customHeight="1">
      <c r="A101" s="5" t="s">
        <v>300</v>
      </c>
      <c r="B101" s="5" t="s">
        <v>690</v>
      </c>
      <c r="D101" s="26" t="s">
        <v>764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96">
        <f>SUM(E101:P101)</f>
        <v>0</v>
      </c>
      <c r="S101" s="35"/>
      <c r="T101" s="40">
        <f>-IF(Q101-S101=0,0,(Q101-S101)/S101)</f>
        <v>0</v>
      </c>
    </row>
    <row r="102" spans="1:20" ht="26.25" customHeight="1">
      <c r="D102" s="21" t="s">
        <v>765</v>
      </c>
      <c r="E102" s="117">
        <f>SUM(E100:E101)</f>
        <v>0</v>
      </c>
      <c r="F102" s="117">
        <f t="shared" ref="F102:P102" si="15">SUM(F100:F101)</f>
        <v>0</v>
      </c>
      <c r="G102" s="117">
        <f t="shared" si="15"/>
        <v>0</v>
      </c>
      <c r="H102" s="117">
        <f t="shared" si="15"/>
        <v>0</v>
      </c>
      <c r="I102" s="117">
        <f t="shared" si="15"/>
        <v>0</v>
      </c>
      <c r="J102" s="117">
        <f t="shared" si="15"/>
        <v>0</v>
      </c>
      <c r="K102" s="117">
        <f t="shared" si="15"/>
        <v>0</v>
      </c>
      <c r="L102" s="117">
        <f t="shared" si="15"/>
        <v>0</v>
      </c>
      <c r="M102" s="117">
        <f t="shared" si="15"/>
        <v>0</v>
      </c>
      <c r="N102" s="117">
        <f t="shared" si="15"/>
        <v>0</v>
      </c>
      <c r="O102" s="117">
        <f t="shared" si="15"/>
        <v>0</v>
      </c>
      <c r="P102" s="117">
        <f t="shared" si="15"/>
        <v>0</v>
      </c>
      <c r="Q102" s="117">
        <f t="shared" ref="Q102" si="16">SUM(Q100:Q101)</f>
        <v>0</v>
      </c>
      <c r="S102" s="35"/>
      <c r="T102" s="40">
        <f t="shared" ref="T102:T133" si="17">-IF(Q102-S102=0,0,(Q102-S102)/S102)</f>
        <v>0</v>
      </c>
    </row>
    <row r="103" spans="1:20" ht="26.25" customHeight="1">
      <c r="E103" s="67"/>
      <c r="F103" s="99"/>
      <c r="G103" s="67"/>
      <c r="H103" s="100"/>
      <c r="I103" s="67"/>
      <c r="J103" s="99"/>
      <c r="K103" s="67"/>
      <c r="L103" s="102"/>
      <c r="M103" s="67"/>
      <c r="N103" s="99"/>
      <c r="O103" s="103"/>
      <c r="P103" s="103"/>
      <c r="Q103" s="103"/>
      <c r="S103" s="35"/>
      <c r="T103" s="40"/>
    </row>
    <row r="104" spans="1:20" ht="26.25" customHeight="1">
      <c r="A104" s="5" t="s">
        <v>603</v>
      </c>
      <c r="B104" s="5" t="s">
        <v>690</v>
      </c>
      <c r="D104" s="26" t="s">
        <v>766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96">
        <f>SUM(E104:P104)</f>
        <v>0</v>
      </c>
      <c r="S104" s="35"/>
      <c r="T104" s="40">
        <f t="shared" si="17"/>
        <v>0</v>
      </c>
    </row>
    <row r="105" spans="1:20" ht="26.25" customHeight="1">
      <c r="A105" s="5" t="s">
        <v>310</v>
      </c>
      <c r="B105" s="5" t="s">
        <v>690</v>
      </c>
      <c r="D105" s="26" t="s">
        <v>767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96">
        <f>SUM(E105:P105)</f>
        <v>0</v>
      </c>
      <c r="S105" s="35"/>
      <c r="T105" s="40">
        <f t="shared" si="17"/>
        <v>0</v>
      </c>
    </row>
    <row r="106" spans="1:20" ht="26.25" customHeight="1">
      <c r="A106" s="5" t="s">
        <v>604</v>
      </c>
      <c r="B106" s="5" t="s">
        <v>690</v>
      </c>
      <c r="D106" s="26" t="s">
        <v>768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96">
        <f>SUM(E106:P106)</f>
        <v>0</v>
      </c>
      <c r="S106" s="35"/>
      <c r="T106" s="40">
        <f t="shared" si="17"/>
        <v>0</v>
      </c>
    </row>
    <row r="107" spans="1:20" ht="26.25" customHeight="1">
      <c r="A107" s="5" t="s">
        <v>605</v>
      </c>
      <c r="B107" s="5" t="s">
        <v>690</v>
      </c>
      <c r="D107" s="26" t="s">
        <v>769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96">
        <f>SUM(E107:P107)</f>
        <v>0</v>
      </c>
      <c r="S107" s="35"/>
      <c r="T107" s="40">
        <f t="shared" si="17"/>
        <v>0</v>
      </c>
    </row>
    <row r="108" spans="1:20" ht="26.25" customHeight="1">
      <c r="A108" s="5" t="s">
        <v>606</v>
      </c>
      <c r="B108" s="5" t="s">
        <v>690</v>
      </c>
      <c r="D108" s="26" t="s">
        <v>770</v>
      </c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6">
        <f>SUM(E108:P108)</f>
        <v>0</v>
      </c>
      <c r="R108" s="39">
        <f t="shared" ref="R108:R111" si="18">IF($Q$15=0,0,Q108/$Q$15)</f>
        <v>0</v>
      </c>
      <c r="S108" s="35"/>
      <c r="T108" s="40">
        <f t="shared" si="17"/>
        <v>0</v>
      </c>
    </row>
    <row r="109" spans="1:20" ht="26.25" customHeight="1">
      <c r="A109" s="5" t="s">
        <v>1066</v>
      </c>
      <c r="B109" s="5" t="s">
        <v>687</v>
      </c>
      <c r="D109" s="26" t="s">
        <v>1136</v>
      </c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6">
        <f t="shared" ref="Q109:Q110" si="19">SUM(E109:P109)</f>
        <v>0</v>
      </c>
      <c r="R109" s="39">
        <f t="shared" ref="R109:R110" si="20">IF($Q$14=0,0,Q109/$Q$14)</f>
        <v>0</v>
      </c>
      <c r="S109" s="35"/>
      <c r="T109" s="40">
        <f t="shared" si="17"/>
        <v>0</v>
      </c>
    </row>
    <row r="110" spans="1:20" ht="26.25" customHeight="1">
      <c r="A110" s="5" t="s">
        <v>1066</v>
      </c>
      <c r="B110" s="5" t="s">
        <v>687</v>
      </c>
      <c r="D110" s="26" t="s">
        <v>1070</v>
      </c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96">
        <f t="shared" si="19"/>
        <v>0</v>
      </c>
      <c r="R110" s="39">
        <f t="shared" si="20"/>
        <v>0</v>
      </c>
      <c r="S110" s="35"/>
      <c r="T110" s="40">
        <f t="shared" si="17"/>
        <v>0</v>
      </c>
    </row>
    <row r="111" spans="1:20" ht="26.25" customHeight="1">
      <c r="D111" s="21" t="s">
        <v>771</v>
      </c>
      <c r="E111" s="91">
        <f>SUM(E104:E110)</f>
        <v>0</v>
      </c>
      <c r="F111" s="91">
        <f t="shared" ref="F111:Q111" si="21">SUM(F104:F110)</f>
        <v>0</v>
      </c>
      <c r="G111" s="91">
        <f t="shared" si="21"/>
        <v>0</v>
      </c>
      <c r="H111" s="91">
        <f t="shared" si="21"/>
        <v>0</v>
      </c>
      <c r="I111" s="91">
        <f t="shared" si="21"/>
        <v>0</v>
      </c>
      <c r="J111" s="91">
        <f t="shared" si="21"/>
        <v>0</v>
      </c>
      <c r="K111" s="91">
        <f t="shared" si="21"/>
        <v>0</v>
      </c>
      <c r="L111" s="91">
        <f t="shared" si="21"/>
        <v>0</v>
      </c>
      <c r="M111" s="91">
        <f t="shared" si="21"/>
        <v>0</v>
      </c>
      <c r="N111" s="91">
        <f t="shared" si="21"/>
        <v>0</v>
      </c>
      <c r="O111" s="91">
        <f t="shared" si="21"/>
        <v>0</v>
      </c>
      <c r="P111" s="91">
        <f t="shared" si="21"/>
        <v>0</v>
      </c>
      <c r="Q111" s="91">
        <f t="shared" si="21"/>
        <v>0</v>
      </c>
      <c r="R111" s="39">
        <f t="shared" si="18"/>
        <v>0</v>
      </c>
      <c r="S111" s="35"/>
      <c r="T111" s="40">
        <f t="shared" si="17"/>
        <v>0</v>
      </c>
    </row>
    <row r="112" spans="1:20" ht="26.25" customHeight="1">
      <c r="E112" s="67"/>
      <c r="F112" s="99"/>
      <c r="G112" s="67"/>
      <c r="H112" s="67"/>
      <c r="I112" s="67"/>
      <c r="J112" s="99"/>
      <c r="K112" s="67"/>
      <c r="L112" s="102"/>
      <c r="M112" s="67"/>
      <c r="N112" s="99"/>
      <c r="O112" s="103"/>
      <c r="P112" s="103"/>
      <c r="Q112" s="103"/>
      <c r="S112" s="35"/>
      <c r="T112" s="40"/>
    </row>
    <row r="113" spans="1:20" ht="26.25" customHeight="1">
      <c r="A113" s="5" t="s">
        <v>609</v>
      </c>
      <c r="B113" s="5" t="s">
        <v>690</v>
      </c>
      <c r="D113" s="26" t="s">
        <v>772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96">
        <f>SUM(E113:P113)</f>
        <v>0</v>
      </c>
      <c r="S113" s="35"/>
      <c r="T113" s="40">
        <f t="shared" si="17"/>
        <v>0</v>
      </c>
    </row>
    <row r="114" spans="1:20" ht="26.25" customHeight="1">
      <c r="A114" s="5" t="s">
        <v>610</v>
      </c>
      <c r="B114" s="5" t="s">
        <v>690</v>
      </c>
      <c r="D114" s="26" t="s">
        <v>773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96">
        <f t="shared" ref="Q114:Q120" si="22">SUM(E114:P114)</f>
        <v>0</v>
      </c>
      <c r="S114" s="35"/>
      <c r="T114" s="40">
        <f t="shared" si="17"/>
        <v>0</v>
      </c>
    </row>
    <row r="115" spans="1:20" ht="26.25" customHeight="1">
      <c r="A115" s="5" t="s">
        <v>611</v>
      </c>
      <c r="B115" s="5" t="s">
        <v>690</v>
      </c>
      <c r="D115" s="26" t="s">
        <v>774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96">
        <f t="shared" si="22"/>
        <v>0</v>
      </c>
      <c r="S115" s="35"/>
      <c r="T115" s="40">
        <f t="shared" si="17"/>
        <v>0</v>
      </c>
    </row>
    <row r="116" spans="1:20" ht="26.25" customHeight="1">
      <c r="A116" s="5" t="s">
        <v>612</v>
      </c>
      <c r="B116" s="5" t="s">
        <v>690</v>
      </c>
      <c r="D116" s="26" t="s">
        <v>775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96">
        <f t="shared" si="22"/>
        <v>0</v>
      </c>
      <c r="S116" s="35"/>
      <c r="T116" s="40">
        <f t="shared" si="17"/>
        <v>0</v>
      </c>
    </row>
    <row r="117" spans="1:20" ht="26.25" customHeight="1">
      <c r="A117" s="5" t="s">
        <v>613</v>
      </c>
      <c r="B117" s="5" t="s">
        <v>690</v>
      </c>
      <c r="D117" s="26" t="s">
        <v>776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96">
        <f t="shared" si="22"/>
        <v>0</v>
      </c>
      <c r="S117" s="35"/>
      <c r="T117" s="40">
        <f t="shared" si="17"/>
        <v>0</v>
      </c>
    </row>
    <row r="118" spans="1:20" ht="26.25" customHeight="1">
      <c r="A118" s="5" t="s">
        <v>614</v>
      </c>
      <c r="B118" s="5" t="s">
        <v>690</v>
      </c>
      <c r="D118" s="26" t="s">
        <v>777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96">
        <f t="shared" si="22"/>
        <v>0</v>
      </c>
      <c r="S118" s="35"/>
      <c r="T118" s="40">
        <f t="shared" si="17"/>
        <v>0</v>
      </c>
    </row>
    <row r="119" spans="1:20" ht="26.25" customHeight="1">
      <c r="A119" s="5" t="s">
        <v>615</v>
      </c>
      <c r="B119" s="5" t="s">
        <v>690</v>
      </c>
      <c r="D119" s="26" t="s">
        <v>778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96">
        <f t="shared" si="22"/>
        <v>0</v>
      </c>
      <c r="S119" s="35"/>
      <c r="T119" s="40">
        <f t="shared" si="17"/>
        <v>0</v>
      </c>
    </row>
    <row r="120" spans="1:20" ht="26.25" customHeight="1">
      <c r="A120" s="5" t="s">
        <v>616</v>
      </c>
      <c r="B120" s="5" t="s">
        <v>690</v>
      </c>
      <c r="D120" s="26" t="s">
        <v>779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96">
        <f t="shared" si="22"/>
        <v>0</v>
      </c>
      <c r="S120" s="35"/>
      <c r="T120" s="40">
        <f t="shared" si="17"/>
        <v>0</v>
      </c>
    </row>
    <row r="121" spans="1:20" ht="26.25" customHeight="1">
      <c r="D121" s="21" t="s">
        <v>780</v>
      </c>
      <c r="E121" s="118">
        <f>SUM(E113:E120)</f>
        <v>0</v>
      </c>
      <c r="F121" s="118">
        <f t="shared" ref="F121:Q121" si="23">SUM(F113:F120)</f>
        <v>0</v>
      </c>
      <c r="G121" s="118">
        <f t="shared" si="23"/>
        <v>0</v>
      </c>
      <c r="H121" s="118">
        <f t="shared" si="23"/>
        <v>0</v>
      </c>
      <c r="I121" s="118">
        <f t="shared" si="23"/>
        <v>0</v>
      </c>
      <c r="J121" s="118">
        <f t="shared" si="23"/>
        <v>0</v>
      </c>
      <c r="K121" s="118">
        <f t="shared" si="23"/>
        <v>0</v>
      </c>
      <c r="L121" s="118">
        <f t="shared" si="23"/>
        <v>0</v>
      </c>
      <c r="M121" s="118">
        <f t="shared" si="23"/>
        <v>0</v>
      </c>
      <c r="N121" s="118">
        <f t="shared" si="23"/>
        <v>0</v>
      </c>
      <c r="O121" s="118">
        <f t="shared" si="23"/>
        <v>0</v>
      </c>
      <c r="P121" s="118">
        <f t="shared" si="23"/>
        <v>0</v>
      </c>
      <c r="Q121" s="118">
        <f t="shared" si="23"/>
        <v>0</v>
      </c>
      <c r="S121" s="35"/>
      <c r="T121" s="40">
        <f t="shared" si="17"/>
        <v>0</v>
      </c>
    </row>
    <row r="122" spans="1:20" ht="26.25" customHeight="1">
      <c r="E122" s="67"/>
      <c r="F122" s="99"/>
      <c r="G122" s="67"/>
      <c r="H122" s="67"/>
      <c r="I122" s="67"/>
      <c r="J122" s="99"/>
      <c r="K122" s="67"/>
      <c r="L122" s="102"/>
      <c r="M122" s="67"/>
      <c r="N122" s="99"/>
      <c r="O122" s="103"/>
      <c r="P122" s="103"/>
      <c r="Q122" s="103"/>
      <c r="S122" s="35"/>
      <c r="T122" s="40"/>
    </row>
    <row r="123" spans="1:20" ht="26.25" customHeight="1">
      <c r="A123" s="5" t="s">
        <v>617</v>
      </c>
      <c r="B123" s="5" t="s">
        <v>690</v>
      </c>
      <c r="D123" s="26" t="s">
        <v>781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96">
        <f t="shared" ref="Q123:Q130" si="24">SUM(E123:P123)</f>
        <v>0</v>
      </c>
      <c r="S123" s="35"/>
      <c r="T123" s="40">
        <f t="shared" si="17"/>
        <v>0</v>
      </c>
    </row>
    <row r="124" spans="1:20" ht="26.25" customHeight="1">
      <c r="A124" s="5" t="s">
        <v>618</v>
      </c>
      <c r="B124" s="5" t="s">
        <v>690</v>
      </c>
      <c r="D124" s="26" t="s">
        <v>782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96">
        <f t="shared" si="24"/>
        <v>0</v>
      </c>
      <c r="S124" s="35"/>
      <c r="T124" s="40">
        <f t="shared" si="17"/>
        <v>0</v>
      </c>
    </row>
    <row r="125" spans="1:20" ht="26.25" customHeight="1">
      <c r="A125" s="5" t="s">
        <v>619</v>
      </c>
      <c r="B125" s="5" t="s">
        <v>690</v>
      </c>
      <c r="D125" s="26" t="s">
        <v>783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96">
        <f t="shared" si="24"/>
        <v>0</v>
      </c>
      <c r="S125" s="35"/>
      <c r="T125" s="40">
        <f t="shared" si="17"/>
        <v>0</v>
      </c>
    </row>
    <row r="126" spans="1:20" ht="26.25" customHeight="1">
      <c r="A126" s="5" t="s">
        <v>620</v>
      </c>
      <c r="B126" s="5" t="s">
        <v>690</v>
      </c>
      <c r="D126" s="26" t="s">
        <v>784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96">
        <f t="shared" si="24"/>
        <v>0</v>
      </c>
      <c r="S126" s="35"/>
      <c r="T126" s="40">
        <f t="shared" si="17"/>
        <v>0</v>
      </c>
    </row>
    <row r="127" spans="1:20" ht="26.25" customHeight="1">
      <c r="A127" s="5" t="s">
        <v>621</v>
      </c>
      <c r="B127" s="5" t="s">
        <v>690</v>
      </c>
      <c r="D127" s="26" t="s">
        <v>785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96">
        <f t="shared" si="24"/>
        <v>0</v>
      </c>
      <c r="S127" s="35"/>
      <c r="T127" s="40">
        <f t="shared" si="17"/>
        <v>0</v>
      </c>
    </row>
    <row r="128" spans="1:20" ht="26.25" customHeight="1">
      <c r="A128" s="5" t="s">
        <v>346</v>
      </c>
      <c r="B128" s="5" t="s">
        <v>690</v>
      </c>
      <c r="D128" s="26" t="s">
        <v>786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96">
        <f t="shared" si="24"/>
        <v>0</v>
      </c>
      <c r="S128" s="35"/>
      <c r="T128" s="40">
        <f t="shared" si="17"/>
        <v>0</v>
      </c>
    </row>
    <row r="129" spans="1:20" ht="26.25" customHeight="1">
      <c r="A129" s="5" t="s">
        <v>624</v>
      </c>
      <c r="B129" s="5" t="s">
        <v>690</v>
      </c>
      <c r="D129" s="26" t="s">
        <v>787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96">
        <f t="shared" si="24"/>
        <v>0</v>
      </c>
      <c r="S129" s="35"/>
      <c r="T129" s="40">
        <f t="shared" si="17"/>
        <v>0</v>
      </c>
    </row>
    <row r="130" spans="1:20" ht="26.25" customHeight="1">
      <c r="D130" s="26" t="s">
        <v>788</v>
      </c>
      <c r="E130" s="119">
        <f>SUM(E123:E129)</f>
        <v>0</v>
      </c>
      <c r="F130" s="119">
        <f t="shared" ref="F130:P130" si="25">SUM(F123:F129)</f>
        <v>0</v>
      </c>
      <c r="G130" s="119">
        <f t="shared" si="25"/>
        <v>0</v>
      </c>
      <c r="H130" s="119">
        <f t="shared" si="25"/>
        <v>0</v>
      </c>
      <c r="I130" s="119">
        <f t="shared" si="25"/>
        <v>0</v>
      </c>
      <c r="J130" s="119">
        <f t="shared" si="25"/>
        <v>0</v>
      </c>
      <c r="K130" s="119">
        <f t="shared" si="25"/>
        <v>0</v>
      </c>
      <c r="L130" s="119">
        <f t="shared" si="25"/>
        <v>0</v>
      </c>
      <c r="M130" s="119">
        <f t="shared" si="25"/>
        <v>0</v>
      </c>
      <c r="N130" s="119">
        <f t="shared" si="25"/>
        <v>0</v>
      </c>
      <c r="O130" s="119">
        <f t="shared" si="25"/>
        <v>0</v>
      </c>
      <c r="P130" s="119">
        <f t="shared" si="25"/>
        <v>0</v>
      </c>
      <c r="Q130" s="120">
        <f t="shared" si="24"/>
        <v>0</v>
      </c>
      <c r="S130" s="35"/>
      <c r="T130" s="40">
        <f t="shared" si="17"/>
        <v>0</v>
      </c>
    </row>
    <row r="131" spans="1:20" ht="26.25" customHeight="1">
      <c r="D131" s="21" t="s">
        <v>789</v>
      </c>
      <c r="E131" s="118">
        <f>E102+E111+E121+E130</f>
        <v>0</v>
      </c>
      <c r="F131" s="118">
        <f t="shared" ref="F131:Q131" si="26">F102+F111+F121+F130</f>
        <v>0</v>
      </c>
      <c r="G131" s="118">
        <f t="shared" si="26"/>
        <v>0</v>
      </c>
      <c r="H131" s="118">
        <f t="shared" si="26"/>
        <v>0</v>
      </c>
      <c r="I131" s="118">
        <f t="shared" si="26"/>
        <v>0</v>
      </c>
      <c r="J131" s="118">
        <f t="shared" si="26"/>
        <v>0</v>
      </c>
      <c r="K131" s="118">
        <f t="shared" si="26"/>
        <v>0</v>
      </c>
      <c r="L131" s="118">
        <f t="shared" si="26"/>
        <v>0</v>
      </c>
      <c r="M131" s="118">
        <f t="shared" si="26"/>
        <v>0</v>
      </c>
      <c r="N131" s="118">
        <f t="shared" si="26"/>
        <v>0</v>
      </c>
      <c r="O131" s="118">
        <f t="shared" si="26"/>
        <v>0</v>
      </c>
      <c r="P131" s="118">
        <f t="shared" si="26"/>
        <v>0</v>
      </c>
      <c r="Q131" s="118">
        <f t="shared" si="26"/>
        <v>0</v>
      </c>
      <c r="S131" s="35"/>
      <c r="T131" s="40">
        <f t="shared" si="17"/>
        <v>0</v>
      </c>
    </row>
    <row r="132" spans="1:20" ht="26.25" customHeight="1">
      <c r="D132" s="21"/>
      <c r="E132" s="67"/>
      <c r="F132" s="99"/>
      <c r="G132" s="67"/>
      <c r="H132" s="67"/>
      <c r="I132" s="67"/>
      <c r="J132" s="99"/>
      <c r="K132" s="67"/>
      <c r="L132" s="102"/>
      <c r="M132" s="67"/>
      <c r="N132" s="99"/>
      <c r="O132" s="103"/>
      <c r="P132" s="103"/>
      <c r="Q132" s="103"/>
      <c r="S132" s="35"/>
      <c r="T132" s="40"/>
    </row>
    <row r="133" spans="1:20" ht="26.25" customHeight="1">
      <c r="A133" s="5" t="s">
        <v>108</v>
      </c>
      <c r="B133" s="5" t="s">
        <v>690</v>
      </c>
      <c r="D133" s="21" t="s">
        <v>790</v>
      </c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>
        <v>0</v>
      </c>
      <c r="S133" s="35"/>
      <c r="T133" s="40">
        <f t="shared" si="17"/>
        <v>0</v>
      </c>
    </row>
  </sheetData>
  <phoneticPr fontId="56" type="noConversion"/>
  <dataValidations count="20">
    <dataValidation type="textLength" errorStyle="information" allowBlank="1" showInputMessage="1" showErrorMessage="1" error="XLBVal:6=-1648.51_x000d__x000a_" sqref="E96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337_x000d__x000a_" sqref="E23:P23 E71:P71">
      <formula1>0</formula1>
      <formula2>300</formula2>
    </dataValidation>
    <dataValidation type="textLength" errorStyle="information" allowBlank="1" showInputMessage="1" showErrorMessage="1" error="XLBVal:6=1531.53_x000d__x000a_" sqref="E12:P12">
      <formula1>0</formula1>
      <formula2>300</formula2>
    </dataValidation>
    <dataValidation type="textLength" errorStyle="information" allowBlank="1" showInputMessage="1" showErrorMessage="1" error="XLBVal:6=28280_x000d__x000a_" sqref="Q17">
      <formula1>0</formula1>
      <formula2>300</formula2>
    </dataValidation>
    <dataValidation type="textLength" errorStyle="information" allowBlank="1" showInputMessage="1" showErrorMessage="1" error="XLBVal:6=-7167.63_x000d__x000a_" sqref="F96">
      <formula1>0</formula1>
      <formula2>300</formula2>
    </dataValidation>
    <dataValidation type="textLength" errorStyle="information" allowBlank="1" showInputMessage="1" showErrorMessage="1" error="XLBVal:6=-1453.98_x000d__x000a_" sqref="E73:P73">
      <formula1>0</formula1>
      <formula2>300</formula2>
    </dataValidation>
    <dataValidation type="textLength" errorStyle="information" allowBlank="1" showInputMessage="1" showErrorMessage="1" error="XLBVal:6=-1394.78_x000d__x000a_" sqref="J96">
      <formula1>0</formula1>
      <formula2>300</formula2>
    </dataValidation>
    <dataValidation type="textLength" errorStyle="information" allowBlank="1" showInputMessage="1" showErrorMessage="1" error="XLBVal:6=-57.85_x000d__x000a_" sqref="G96">
      <formula1>0</formula1>
      <formula2>300</formula2>
    </dataValidation>
    <dataValidation type="textLength" errorStyle="information" allowBlank="1" showInputMessage="1" showErrorMessage="1" error="XLBVal:6=314.3_x000d__x000a_" sqref="E108:P108">
      <formula1>0</formula1>
      <formula2>300</formula2>
    </dataValidation>
    <dataValidation type="textLength" errorStyle="information" allowBlank="1" showInputMessage="1" showErrorMessage="1" error="XLBVal:6=-537.3_x000d__x000a_" sqref="H96">
      <formula1>0</formula1>
      <formula2>300</formula2>
    </dataValidation>
    <dataValidation type="textLength" errorStyle="information" allowBlank="1" showInputMessage="1" showErrorMessage="1" error="XLBVal:6=743.54_x000d__x000a_" sqref="I96">
      <formula1>0</formula1>
      <formula2>300</formula2>
    </dataValidation>
    <dataValidation type="textLength" errorStyle="information" allowBlank="1" showInputMessage="1" showErrorMessage="1" error="XLBVal:6=-741.12_x000d__x000a_" sqref="K96">
      <formula1>0</formula1>
      <formula2>300</formula2>
    </dataValidation>
    <dataValidation type="textLength" errorStyle="information" allowBlank="1" showInputMessage="1" showErrorMessage="1" error="XLBVal:6=1958_x000d__x000a_" sqref="L96">
      <formula1>0</formula1>
      <formula2>300</formula2>
    </dataValidation>
    <dataValidation type="textLength" errorStyle="information" allowBlank="1" showInputMessage="1" showErrorMessage="1" error="XLBVal:6=-2000_x000d__x000a_" sqref="M96:P96">
      <formula1>0</formula1>
      <formula2>300</formula2>
    </dataValidation>
    <dataValidation type="textLength" errorStyle="information" allowBlank="1" showInputMessage="1" showErrorMessage="1" error="XLBVal:6=-24000_x000d__x000a_" sqref="Q96">
      <formula1>0</formula1>
      <formula2>300</formula2>
    </dataValidation>
    <dataValidation type="textLength" errorStyle="information" allowBlank="1" showInputMessage="1" showErrorMessage="1" error="XLBVal:2=0_x000d__x000a_" sqref="E133:Q133 Q12:Q14 Q18:Q94 Q104:Q110 E13:P14 E17:P20 E74:P94 E123:Q130 E104:P107 E100:Q101 E113:Q121 E72:P72 E26:P70">
      <formula1>0</formula1>
      <formula2>300</formula2>
    </dataValidation>
    <dataValidation type="textLength" errorStyle="information" allowBlank="1" showInputMessage="1" showErrorMessage="1" error="XLBVal:6=3239.86_x000d__x000a_" sqref="E21:P22 E24:P25">
      <formula1>0</formula1>
      <formula2>300</formula2>
    </dataValidation>
    <dataValidation type="textLength" errorStyle="information" allowBlank="1" showInputMessage="1" showErrorMessage="1" error="XLBVal:6=6688509.16_x000d__x000a_" sqref="E15:Q16">
      <formula1>0</formula1>
      <formula2>300</formula2>
    </dataValidation>
    <dataValidation type="textLength" errorStyle="information" allowBlank="1" showInputMessage="1" showErrorMessage="1" error="XLBVal:6=800_x000d__x000a_" sqref="E109:P11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FFCC00"/>
    <pageSetUpPr fitToPage="1"/>
  </sheetPr>
  <dimension ref="A1:V203"/>
  <sheetViews>
    <sheetView zoomScale="60" zoomScaleNormal="60" zoomScaleSheetLayoutView="55" workbookViewId="0">
      <pane xSplit="4" ySplit="12" topLeftCell="E170" activePane="bottomRight" state="frozen"/>
      <selection activeCell="D9" sqref="D9"/>
      <selection pane="topRight" activeCell="D9" sqref="D9"/>
      <selection pane="bottomLeft" activeCell="D9" sqref="D9"/>
      <selection pane="bottomRight" activeCell="Q196" sqref="Q196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1.6328125" style="6" customWidth="1" collapsed="1"/>
    <col min="5" max="9" width="26.08984375" style="7" customWidth="1"/>
    <col min="10" max="16" width="26.08984375" style="5" customWidth="1"/>
    <col min="17" max="17" width="28.08984375" style="5" customWidth="1"/>
    <col min="18" max="18" width="12" style="5" customWidth="1"/>
    <col min="19" max="19" width="11.453125" style="5" hidden="1" customWidth="1"/>
    <col min="20" max="20" width="22.453125" style="8" hidden="1" customWidth="1"/>
    <col min="21" max="21" width="22.453125" style="5" hidden="1" customWidth="1"/>
    <col min="22" max="22" width="18.6328125" style="5" bestFit="1" customWidth="1"/>
    <col min="23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</row>
    <row r="4" spans="1:21" s="2" customFormat="1" ht="25.4" customHeight="1">
      <c r="D4" s="14" t="str">
        <f>Summary!$D$4</f>
        <v>Hotel Budget Report</v>
      </c>
      <c r="E4" s="11"/>
      <c r="F4" s="11"/>
      <c r="G4" s="12"/>
      <c r="H4" s="13"/>
      <c r="I4" s="13"/>
      <c r="T4" s="33"/>
    </row>
    <row r="5" spans="1:21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845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/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4" t="s">
        <v>22</v>
      </c>
      <c r="T10" s="36" t="s">
        <v>23</v>
      </c>
      <c r="U10" s="37" t="s">
        <v>24</v>
      </c>
    </row>
    <row r="11" spans="1:21" s="3" customFormat="1" ht="25.4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51</v>
      </c>
      <c r="D12" s="21" t="s">
        <v>139</v>
      </c>
      <c r="E12" s="43">
        <f>+E196</f>
        <v>740866.3899999999</v>
      </c>
      <c r="F12" s="43">
        <f t="shared" ref="F12:P12" si="0">+F196</f>
        <v>724620</v>
      </c>
      <c r="G12" s="43">
        <f t="shared" si="0"/>
        <v>723107.07000000007</v>
      </c>
      <c r="H12" s="43">
        <f t="shared" si="0"/>
        <v>728125.54999999993</v>
      </c>
      <c r="I12" s="43">
        <f t="shared" si="0"/>
        <v>734612.36</v>
      </c>
      <c r="J12" s="43">
        <f t="shared" si="0"/>
        <v>720870.56</v>
      </c>
      <c r="K12" s="43">
        <f t="shared" si="0"/>
        <v>720241.30999999994</v>
      </c>
      <c r="L12" s="43">
        <f t="shared" si="0"/>
        <v>720325.45</v>
      </c>
      <c r="M12" s="43">
        <f t="shared" si="0"/>
        <v>720413.71000000008</v>
      </c>
      <c r="N12" s="43">
        <f t="shared" si="0"/>
        <v>743128.65000000014</v>
      </c>
      <c r="O12" s="43">
        <f t="shared" si="0"/>
        <v>720041.16</v>
      </c>
      <c r="P12" s="43">
        <f t="shared" si="0"/>
        <v>719844.71</v>
      </c>
      <c r="Q12" s="43">
        <f>SUM(E12:P12)</f>
        <v>8716196.9199999999</v>
      </c>
      <c r="R12" s="39">
        <f>Q12/Summary!$Q$16</f>
        <v>0.10943089776225245</v>
      </c>
      <c r="S12" s="39"/>
      <c r="T12" s="35"/>
      <c r="U12" s="40" t="e">
        <f>-IF(Q12-T12=0,0,(Q12-T12)/T12)</f>
        <v>#DIV/0!</v>
      </c>
    </row>
    <row r="13" spans="1:21" s="3" customFormat="1" ht="25.4" customHeight="1">
      <c r="D13" s="26"/>
      <c r="E13" s="24"/>
      <c r="F13" s="24"/>
      <c r="G13" s="24"/>
      <c r="H13" s="25"/>
      <c r="I13" s="25"/>
      <c r="Q13" s="3">
        <f>EO!Q12+Finance!Q12+HR!Q12+Security!Q12+IT!Q12</f>
        <v>8716196.9199999999</v>
      </c>
      <c r="T13" s="35"/>
      <c r="U13" s="40"/>
    </row>
    <row r="14" spans="1:21" s="3" customFormat="1" ht="25.4" customHeight="1">
      <c r="D14" s="21" t="s">
        <v>140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T14" s="35"/>
      <c r="U14" s="40"/>
    </row>
    <row r="15" spans="1:21" s="3" customFormat="1" ht="25.4" hidden="1" customHeight="1">
      <c r="A15" s="3" t="s">
        <v>468</v>
      </c>
      <c r="B15" s="3" t="s">
        <v>51</v>
      </c>
      <c r="D15" s="26" t="s">
        <v>469</v>
      </c>
      <c r="E15" s="43">
        <f>EO!E15+Finance!E15+HR!E15+Security!E15+IT!E15</f>
        <v>0</v>
      </c>
      <c r="F15" s="43">
        <f>EO!F15+Finance!F15+HR!F15+Security!F15+IT!F15</f>
        <v>0</v>
      </c>
      <c r="G15" s="43">
        <f>EO!G15+Finance!G15+HR!G15+Security!G15+IT!G15</f>
        <v>0</v>
      </c>
      <c r="H15" s="43">
        <f>EO!H15+Finance!H15+HR!H15+Security!H15+IT!H15</f>
        <v>0</v>
      </c>
      <c r="I15" s="43">
        <f>EO!I15+Finance!I15+HR!I15+Security!I15+IT!I15</f>
        <v>0</v>
      </c>
      <c r="J15" s="43">
        <f>EO!J15+Finance!J15+HR!J15+Security!J15+IT!J15</f>
        <v>0</v>
      </c>
      <c r="K15" s="43">
        <f>EO!K15+Finance!K15+HR!K15+Security!K15+IT!K15</f>
        <v>0</v>
      </c>
      <c r="L15" s="43">
        <f>EO!L15+Finance!L15+HR!L15+Security!L15+IT!L15</f>
        <v>0</v>
      </c>
      <c r="M15" s="43">
        <f>EO!M15+Finance!M15+HR!M15+Security!M15+IT!M15</f>
        <v>0</v>
      </c>
      <c r="N15" s="43">
        <f>EO!N15+Finance!N15+HR!N15+Security!N15+IT!N15</f>
        <v>0</v>
      </c>
      <c r="O15" s="43">
        <f>EO!O15+Finance!O15+HR!O15+Security!O15+IT!O15</f>
        <v>0</v>
      </c>
      <c r="P15" s="43">
        <f>EO!P15+Finance!P15+HR!P15+Security!P15+IT!P15</f>
        <v>0</v>
      </c>
      <c r="Q15" s="3">
        <f>SUM(E15:P15)</f>
        <v>0</v>
      </c>
      <c r="R15" s="39">
        <f>Q15/Summary!$Q$16</f>
        <v>0</v>
      </c>
      <c r="S15" s="39"/>
      <c r="T15" s="35"/>
      <c r="U15" s="40">
        <f t="shared" ref="U15:U22" si="1">IF(Q15-T15=0,0,(Q15-T15)/T15)</f>
        <v>0</v>
      </c>
    </row>
    <row r="16" spans="1:21" s="3" customFormat="1" ht="25.4" hidden="1" customHeight="1">
      <c r="A16" s="3" t="s">
        <v>470</v>
      </c>
      <c r="B16" s="3" t="s">
        <v>51</v>
      </c>
      <c r="D16" s="28" t="s">
        <v>471</v>
      </c>
      <c r="E16" s="43">
        <f>EO!E16+Finance!E16+HR!E16+Security!E16+IT!E16</f>
        <v>0</v>
      </c>
      <c r="F16" s="43">
        <f>EO!F16+Finance!F16+HR!F16+Security!F16+IT!F16</f>
        <v>0</v>
      </c>
      <c r="G16" s="43">
        <f>EO!G16+Finance!G16+HR!G16+Security!G16+IT!G16</f>
        <v>0</v>
      </c>
      <c r="H16" s="43">
        <f>EO!H16+Finance!H16+HR!H16+Security!H16+IT!H16</f>
        <v>0</v>
      </c>
      <c r="I16" s="43">
        <f>EO!I16+Finance!I16+HR!I16+Security!I16+IT!I16</f>
        <v>0</v>
      </c>
      <c r="J16" s="43">
        <f>EO!J16+Finance!J16+HR!J16+Security!J16+IT!J16</f>
        <v>0</v>
      </c>
      <c r="K16" s="43">
        <f>EO!K16+Finance!K16+HR!K16+Security!K16+IT!K16</f>
        <v>0</v>
      </c>
      <c r="L16" s="43">
        <f>EO!L16+Finance!L16+HR!L16+Security!L16+IT!L16</f>
        <v>0</v>
      </c>
      <c r="M16" s="43">
        <f>EO!M16+Finance!M16+HR!M16+Security!M16+IT!M16</f>
        <v>0</v>
      </c>
      <c r="N16" s="43">
        <f>EO!N16+Finance!N16+HR!N16+Security!N16+IT!N16</f>
        <v>0</v>
      </c>
      <c r="O16" s="43">
        <f>EO!O16+Finance!O16+HR!O16+Security!O16+IT!O16</f>
        <v>0</v>
      </c>
      <c r="P16" s="43">
        <f>EO!P16+Finance!P16+HR!P16+Security!P16+IT!P16</f>
        <v>0</v>
      </c>
      <c r="Q16" s="3">
        <f t="shared" ref="Q16:Q79" si="2">SUM(E16:P16)</f>
        <v>0</v>
      </c>
      <c r="R16" s="39">
        <f>Q16/Summary!$Q$16</f>
        <v>0</v>
      </c>
      <c r="S16" s="39"/>
      <c r="T16" s="35"/>
      <c r="U16" s="40">
        <f t="shared" si="1"/>
        <v>0</v>
      </c>
    </row>
    <row r="17" spans="1:21" s="3" customFormat="1" ht="25.4" hidden="1" customHeight="1">
      <c r="A17" s="3" t="s">
        <v>472</v>
      </c>
      <c r="B17" s="3" t="s">
        <v>51</v>
      </c>
      <c r="D17" s="26" t="s">
        <v>473</v>
      </c>
      <c r="E17" s="43">
        <f>EO!E17+Finance!E17+HR!E17+Security!E17+IT!E17</f>
        <v>0</v>
      </c>
      <c r="F17" s="43">
        <f>EO!F17+Finance!F17+HR!F17+Security!F17+IT!F17</f>
        <v>0</v>
      </c>
      <c r="G17" s="43">
        <f>EO!G17+Finance!G17+HR!G17+Security!G17+IT!G17</f>
        <v>0</v>
      </c>
      <c r="H17" s="43">
        <f>EO!H17+Finance!H17+HR!H17+Security!H17+IT!H17</f>
        <v>0</v>
      </c>
      <c r="I17" s="43">
        <f>EO!I17+Finance!I17+HR!I17+Security!I17+IT!I17</f>
        <v>0</v>
      </c>
      <c r="J17" s="43">
        <f>EO!J17+Finance!J17+HR!J17+Security!J17+IT!J17</f>
        <v>0</v>
      </c>
      <c r="K17" s="43">
        <f>EO!K17+Finance!K17+HR!K17+Security!K17+IT!K17</f>
        <v>0</v>
      </c>
      <c r="L17" s="43">
        <f>EO!L17+Finance!L17+HR!L17+Security!L17+IT!L17</f>
        <v>0</v>
      </c>
      <c r="M17" s="43">
        <f>EO!M17+Finance!M17+HR!M17+Security!M17+IT!M17</f>
        <v>0</v>
      </c>
      <c r="N17" s="43">
        <f>EO!N17+Finance!N17+HR!N17+Security!N17+IT!N17</f>
        <v>0</v>
      </c>
      <c r="O17" s="43">
        <f>EO!O17+Finance!O17+HR!O17+Security!O17+IT!O17</f>
        <v>0</v>
      </c>
      <c r="P17" s="43">
        <f>EO!P17+Finance!P17+HR!P17+Security!P17+IT!P17</f>
        <v>0</v>
      </c>
      <c r="Q17" s="3">
        <f t="shared" si="2"/>
        <v>0</v>
      </c>
      <c r="R17" s="39">
        <f>Q17/Summary!$Q$16</f>
        <v>0</v>
      </c>
      <c r="S17" s="39"/>
      <c r="T17" s="35"/>
      <c r="U17" s="40">
        <f t="shared" si="1"/>
        <v>0</v>
      </c>
    </row>
    <row r="18" spans="1:21" s="3" customFormat="1" ht="25.4" hidden="1" customHeight="1">
      <c r="A18" s="3" t="s">
        <v>474</v>
      </c>
      <c r="B18" s="3" t="s">
        <v>51</v>
      </c>
      <c r="D18" s="26" t="s">
        <v>475</v>
      </c>
      <c r="E18" s="43">
        <f>EO!E18+Finance!E18+HR!E18+Security!E18+IT!E18</f>
        <v>0</v>
      </c>
      <c r="F18" s="43">
        <f>EO!F18+Finance!F18+HR!F18+Security!F18+IT!F18</f>
        <v>0</v>
      </c>
      <c r="G18" s="43">
        <f>EO!G18+Finance!G18+HR!G18+Security!G18+IT!G18</f>
        <v>0</v>
      </c>
      <c r="H18" s="43">
        <f>EO!H18+Finance!H18+HR!H18+Security!H18+IT!H18</f>
        <v>0</v>
      </c>
      <c r="I18" s="43">
        <f>EO!I18+Finance!I18+HR!I18+Security!I18+IT!I18</f>
        <v>0</v>
      </c>
      <c r="J18" s="43">
        <f>EO!J18+Finance!J18+HR!J18+Security!J18+IT!J18</f>
        <v>0</v>
      </c>
      <c r="K18" s="43">
        <f>EO!K18+Finance!K18+HR!K18+Security!K18+IT!K18</f>
        <v>0</v>
      </c>
      <c r="L18" s="43">
        <f>EO!L18+Finance!L18+HR!L18+Security!L18+IT!L18</f>
        <v>0</v>
      </c>
      <c r="M18" s="43">
        <f>EO!M18+Finance!M18+HR!M18+Security!M18+IT!M18</f>
        <v>0</v>
      </c>
      <c r="N18" s="43">
        <f>EO!N18+Finance!N18+HR!N18+Security!N18+IT!N18</f>
        <v>0</v>
      </c>
      <c r="O18" s="43">
        <f>EO!O18+Finance!O18+HR!O18+Security!O18+IT!O18</f>
        <v>0</v>
      </c>
      <c r="P18" s="43">
        <f>EO!P18+Finance!P18+HR!P18+Security!P18+IT!P18</f>
        <v>0</v>
      </c>
      <c r="Q18" s="3">
        <f t="shared" si="2"/>
        <v>0</v>
      </c>
      <c r="R18" s="39">
        <f>Q18/Summary!$Q$16</f>
        <v>0</v>
      </c>
      <c r="S18" s="39"/>
      <c r="T18" s="35"/>
      <c r="U18" s="40">
        <f t="shared" si="1"/>
        <v>0</v>
      </c>
    </row>
    <row r="19" spans="1:21" s="3" customFormat="1" ht="25.4" hidden="1" customHeight="1">
      <c r="A19" s="3" t="s">
        <v>476</v>
      </c>
      <c r="B19" s="3" t="s">
        <v>51</v>
      </c>
      <c r="D19" s="29" t="s">
        <v>477</v>
      </c>
      <c r="E19" s="43">
        <f>EO!E19+Finance!E19+HR!E19+Security!E19+IT!E19</f>
        <v>0</v>
      </c>
      <c r="F19" s="43">
        <f>EO!F19+Finance!F19+HR!F19+Security!F19+IT!F19</f>
        <v>0</v>
      </c>
      <c r="G19" s="43">
        <f>EO!G19+Finance!G19+HR!G19+Security!G19+IT!G19</f>
        <v>0</v>
      </c>
      <c r="H19" s="43">
        <f>EO!H19+Finance!H19+HR!H19+Security!H19+IT!H19</f>
        <v>0</v>
      </c>
      <c r="I19" s="43">
        <f>EO!I19+Finance!I19+HR!I19+Security!I19+IT!I19</f>
        <v>0</v>
      </c>
      <c r="J19" s="43">
        <f>EO!J19+Finance!J19+HR!J19+Security!J19+IT!J19</f>
        <v>0</v>
      </c>
      <c r="K19" s="43">
        <f>EO!K19+Finance!K19+HR!K19+Security!K19+IT!K19</f>
        <v>0</v>
      </c>
      <c r="L19" s="43">
        <f>EO!L19+Finance!L19+HR!L19+Security!L19+IT!L19</f>
        <v>0</v>
      </c>
      <c r="M19" s="43">
        <f>EO!M19+Finance!M19+HR!M19+Security!M19+IT!M19</f>
        <v>0</v>
      </c>
      <c r="N19" s="43">
        <f>EO!N19+Finance!N19+HR!N19+Security!N19+IT!N19</f>
        <v>0</v>
      </c>
      <c r="O19" s="43">
        <f>EO!O19+Finance!O19+HR!O19+Security!O19+IT!O19</f>
        <v>0</v>
      </c>
      <c r="P19" s="43">
        <f>EO!P19+Finance!P19+HR!P19+Security!P19+IT!P19</f>
        <v>0</v>
      </c>
      <c r="Q19" s="3">
        <f t="shared" si="2"/>
        <v>0</v>
      </c>
      <c r="R19" s="39">
        <f>Q19/Summary!$Q$16</f>
        <v>0</v>
      </c>
      <c r="S19" s="39"/>
      <c r="T19" s="35"/>
      <c r="U19" s="40">
        <f t="shared" si="1"/>
        <v>0</v>
      </c>
    </row>
    <row r="20" spans="1:21" s="3" customFormat="1" ht="25.4" hidden="1" customHeight="1">
      <c r="A20" s="3" t="s">
        <v>478</v>
      </c>
      <c r="B20" s="3" t="s">
        <v>51</v>
      </c>
      <c r="D20" s="29" t="s">
        <v>479</v>
      </c>
      <c r="E20" s="43">
        <f>EO!E20+Finance!E20+HR!E20+Security!E20+IT!E20</f>
        <v>0</v>
      </c>
      <c r="F20" s="43">
        <f>EO!F20+Finance!F20+HR!F20+Security!F20+IT!F20</f>
        <v>0</v>
      </c>
      <c r="G20" s="43">
        <f>EO!G20+Finance!G20+HR!G20+Security!G20+IT!G20</f>
        <v>0</v>
      </c>
      <c r="H20" s="43">
        <f>EO!H20+Finance!H20+HR!H20+Security!H20+IT!H20</f>
        <v>0</v>
      </c>
      <c r="I20" s="43">
        <f>EO!I20+Finance!I20+HR!I20+Security!I20+IT!I20</f>
        <v>0</v>
      </c>
      <c r="J20" s="43">
        <f>EO!J20+Finance!J20+HR!J20+Security!J20+IT!J20</f>
        <v>0</v>
      </c>
      <c r="K20" s="43">
        <f>EO!K20+Finance!K20+HR!K20+Security!K20+IT!K20</f>
        <v>0</v>
      </c>
      <c r="L20" s="43">
        <f>EO!L20+Finance!L20+HR!L20+Security!L20+IT!L20</f>
        <v>0</v>
      </c>
      <c r="M20" s="43">
        <f>EO!M20+Finance!M20+HR!M20+Security!M20+IT!M20</f>
        <v>0</v>
      </c>
      <c r="N20" s="43">
        <f>EO!N20+Finance!N20+HR!N20+Security!N20+IT!N20</f>
        <v>0</v>
      </c>
      <c r="O20" s="43">
        <f>EO!O20+Finance!O20+HR!O20+Security!O20+IT!O20</f>
        <v>0</v>
      </c>
      <c r="P20" s="43">
        <f>EO!P20+Finance!P20+HR!P20+Security!P20+IT!P20</f>
        <v>0</v>
      </c>
      <c r="Q20" s="3">
        <f t="shared" si="2"/>
        <v>0</v>
      </c>
      <c r="R20" s="39">
        <f>Q20/Summary!$Q$16</f>
        <v>0</v>
      </c>
      <c r="S20" s="39"/>
      <c r="T20" s="35"/>
      <c r="U20" s="40">
        <f t="shared" si="1"/>
        <v>0</v>
      </c>
    </row>
    <row r="21" spans="1:21" s="3" customFormat="1" ht="25.4" customHeight="1">
      <c r="A21" s="3" t="s">
        <v>480</v>
      </c>
      <c r="B21" s="3" t="s">
        <v>51</v>
      </c>
      <c r="D21" s="26" t="s">
        <v>481</v>
      </c>
      <c r="E21" s="43">
        <f>EO!E21+Finance!E21+HR!E21+Security!E21+IT!E21</f>
        <v>0</v>
      </c>
      <c r="F21" s="43">
        <f>EO!F21+Finance!F21+HR!F21+Security!F21+IT!F21</f>
        <v>0</v>
      </c>
      <c r="G21" s="43">
        <f>EO!G21+Finance!G21+HR!G21+Security!G21+IT!G21</f>
        <v>0</v>
      </c>
      <c r="H21" s="43">
        <f>EO!H21+Finance!H21+HR!H21+Security!H21+IT!H21</f>
        <v>0</v>
      </c>
      <c r="I21" s="43">
        <f>EO!I21+Finance!I21+HR!I21+Security!I21+IT!I21</f>
        <v>0</v>
      </c>
      <c r="J21" s="43">
        <f>EO!J21+Finance!J21+HR!J21+Security!J21+IT!J21</f>
        <v>0</v>
      </c>
      <c r="K21" s="43">
        <f>EO!K21+Finance!K21+HR!K21+Security!K21+IT!K21</f>
        <v>0</v>
      </c>
      <c r="L21" s="43">
        <f>EO!L21+Finance!L21+HR!L21+Security!L21+IT!L21</f>
        <v>0</v>
      </c>
      <c r="M21" s="43">
        <f>EO!M21+Finance!M21+HR!M21+Security!M21+IT!M21</f>
        <v>0</v>
      </c>
      <c r="N21" s="43">
        <f>EO!N21+Finance!N21+HR!N21+Security!N21+IT!N21</f>
        <v>0</v>
      </c>
      <c r="O21" s="43">
        <f>EO!O21+Finance!O21+HR!O21+Security!O21+IT!O21</f>
        <v>0</v>
      </c>
      <c r="P21" s="43">
        <f>EO!P21+Finance!P21+HR!P21+Security!P21+IT!P21</f>
        <v>0</v>
      </c>
      <c r="Q21" s="3">
        <f t="shared" si="2"/>
        <v>0</v>
      </c>
      <c r="R21" s="39">
        <f>Q21/Summary!$Q$16</f>
        <v>0</v>
      </c>
      <c r="S21" s="39"/>
      <c r="T21" s="35"/>
      <c r="U21" s="40">
        <f t="shared" si="1"/>
        <v>0</v>
      </c>
    </row>
    <row r="22" spans="1:21" s="3" customFormat="1" ht="25.4" hidden="1" customHeight="1">
      <c r="A22" s="3" t="s">
        <v>482</v>
      </c>
      <c r="B22" s="3" t="s">
        <v>51</v>
      </c>
      <c r="D22" s="29" t="s">
        <v>483</v>
      </c>
      <c r="E22" s="43">
        <f>EO!E22+Finance!E22+HR!E22+Security!E22+IT!E22</f>
        <v>0</v>
      </c>
      <c r="F22" s="43">
        <f>EO!F22+Finance!F22+HR!F22+Security!F22+IT!F22</f>
        <v>0</v>
      </c>
      <c r="G22" s="43">
        <f>EO!G22+Finance!G22+HR!G22+Security!G22+IT!G22</f>
        <v>0</v>
      </c>
      <c r="H22" s="43">
        <f>EO!H22+Finance!H22+HR!H22+Security!H22+IT!H22</f>
        <v>0</v>
      </c>
      <c r="I22" s="43">
        <f>EO!I22+Finance!I22+HR!I22+Security!I22+IT!I22</f>
        <v>0</v>
      </c>
      <c r="J22" s="43">
        <f>EO!J22+Finance!J22+HR!J22+Security!J22+IT!J22</f>
        <v>0</v>
      </c>
      <c r="K22" s="43">
        <f>EO!K22+Finance!K22+HR!K22+Security!K22+IT!K22</f>
        <v>0</v>
      </c>
      <c r="L22" s="43">
        <f>EO!L22+Finance!L22+HR!L22+Security!L22+IT!L22</f>
        <v>0</v>
      </c>
      <c r="M22" s="43">
        <f>EO!M22+Finance!M22+HR!M22+Security!M22+IT!M22</f>
        <v>0</v>
      </c>
      <c r="N22" s="43">
        <f>EO!N22+Finance!N22+HR!N22+Security!N22+IT!N22</f>
        <v>0</v>
      </c>
      <c r="O22" s="43">
        <f>EO!O22+Finance!O22+HR!O22+Security!O22+IT!O22</f>
        <v>0</v>
      </c>
      <c r="P22" s="43">
        <f>EO!P22+Finance!P22+HR!P22+Security!P22+IT!P22</f>
        <v>0</v>
      </c>
      <c r="Q22" s="3">
        <f t="shared" si="2"/>
        <v>0</v>
      </c>
      <c r="R22" s="39">
        <f>Q22/Summary!$Q$16</f>
        <v>0</v>
      </c>
      <c r="S22" s="39"/>
      <c r="T22" s="35"/>
      <c r="U22" s="40">
        <f t="shared" si="1"/>
        <v>0</v>
      </c>
    </row>
    <row r="23" spans="1:21" s="3" customFormat="1" ht="25.4" customHeight="1">
      <c r="A23" s="3" t="s">
        <v>484</v>
      </c>
      <c r="B23" s="3" t="s">
        <v>51</v>
      </c>
      <c r="D23" s="26" t="s">
        <v>485</v>
      </c>
      <c r="E23" s="43">
        <f>EO!E23+Finance!E23+HR!E23+Security!E23+IT!E23</f>
        <v>0</v>
      </c>
      <c r="F23" s="43">
        <f>EO!F23+Finance!F23+HR!F23+Security!F23+IT!F23</f>
        <v>0</v>
      </c>
      <c r="G23" s="43">
        <f>EO!G23+Finance!G23+HR!G23+Security!G23+IT!G23</f>
        <v>0</v>
      </c>
      <c r="H23" s="43">
        <f>EO!H23+Finance!H23+HR!H23+Security!H23+IT!H23</f>
        <v>0</v>
      </c>
      <c r="I23" s="43">
        <f>EO!I23+Finance!I23+HR!I23+Security!I23+IT!I23</f>
        <v>0</v>
      </c>
      <c r="J23" s="43">
        <f>EO!J23+Finance!J23+HR!J23+Security!J23+IT!J23</f>
        <v>0</v>
      </c>
      <c r="K23" s="43">
        <f>EO!K23+Finance!K23+HR!K23+Security!K23+IT!K23</f>
        <v>0</v>
      </c>
      <c r="L23" s="43">
        <f>EO!L23+Finance!L23+HR!L23+Security!L23+IT!L23</f>
        <v>0</v>
      </c>
      <c r="M23" s="43">
        <f>EO!M23+Finance!M23+HR!M23+Security!M23+IT!M23</f>
        <v>0</v>
      </c>
      <c r="N23" s="43">
        <f>EO!N23+Finance!N23+HR!N23+Security!N23+IT!N23</f>
        <v>0</v>
      </c>
      <c r="O23" s="43">
        <f>EO!O23+Finance!O23+HR!O23+Security!O23+IT!O23</f>
        <v>0</v>
      </c>
      <c r="P23" s="43">
        <f>EO!P23+Finance!P23+HR!P23+Security!P23+IT!P23</f>
        <v>0</v>
      </c>
      <c r="Q23" s="3">
        <f t="shared" si="2"/>
        <v>0</v>
      </c>
      <c r="R23" s="39">
        <f>Q23/Summary!$Q$16</f>
        <v>0</v>
      </c>
      <c r="S23" s="39"/>
      <c r="T23" s="35"/>
      <c r="U23" s="40">
        <f t="shared" ref="U23:U70" si="3">-IF(Q23-T23=0,0,(Q23-T23)/T23)</f>
        <v>0</v>
      </c>
    </row>
    <row r="24" spans="1:21" s="3" customFormat="1" ht="25.4" hidden="1" customHeight="1">
      <c r="A24" s="3" t="s">
        <v>486</v>
      </c>
      <c r="B24" s="3" t="s">
        <v>51</v>
      </c>
      <c r="D24" s="26" t="s">
        <v>487</v>
      </c>
      <c r="E24" s="43">
        <f>EO!E24+Finance!E24+HR!E24+Security!E24+IT!E24</f>
        <v>500</v>
      </c>
      <c r="F24" s="43">
        <f>EO!F24+Finance!F24+HR!F24+Security!F24+IT!F24</f>
        <v>500</v>
      </c>
      <c r="G24" s="43">
        <f>EO!G24+Finance!G24+HR!G24+Security!G24+IT!G24</f>
        <v>500</v>
      </c>
      <c r="H24" s="43">
        <f>EO!H24+Finance!H24+HR!H24+Security!H24+IT!H24</f>
        <v>0</v>
      </c>
      <c r="I24" s="43">
        <f>EO!I24+Finance!I24+HR!I24+Security!I24+IT!I24</f>
        <v>500</v>
      </c>
      <c r="J24" s="43">
        <f>EO!J24+Finance!J24+HR!J24+Security!J24+IT!J24</f>
        <v>0</v>
      </c>
      <c r="K24" s="43">
        <f>EO!K24+Finance!K24+HR!K24+Security!K24+IT!K24</f>
        <v>0</v>
      </c>
      <c r="L24" s="43">
        <f>EO!L24+Finance!L24+HR!L24+Security!L24+IT!L24</f>
        <v>0</v>
      </c>
      <c r="M24" s="43">
        <f>EO!M24+Finance!M24+HR!M24+Security!M24+IT!M24</f>
        <v>0</v>
      </c>
      <c r="N24" s="43">
        <f>EO!N24+Finance!N24+HR!N24+Security!N24+IT!N24</f>
        <v>500</v>
      </c>
      <c r="O24" s="43">
        <f>EO!O24+Finance!O24+HR!O24+Security!O24+IT!O24</f>
        <v>0</v>
      </c>
      <c r="P24" s="43">
        <f>EO!P24+Finance!P24+HR!P24+Security!P24+IT!P24</f>
        <v>0</v>
      </c>
      <c r="Q24" s="3">
        <f t="shared" si="2"/>
        <v>2500</v>
      </c>
      <c r="R24" s="39">
        <f>Q24/Summary!$Q$16</f>
        <v>3.1387226208472489E-5</v>
      </c>
      <c r="S24" s="39"/>
      <c r="T24" s="35"/>
      <c r="U24" s="40" t="e">
        <f t="shared" si="3"/>
        <v>#DIV/0!</v>
      </c>
    </row>
    <row r="25" spans="1:21" s="3" customFormat="1" ht="25.4" hidden="1" customHeight="1">
      <c r="A25" s="3" t="s">
        <v>488</v>
      </c>
      <c r="B25" s="3" t="s">
        <v>51</v>
      </c>
      <c r="D25" s="26" t="s">
        <v>489</v>
      </c>
      <c r="E25" s="43">
        <f>EO!E25+Finance!E25+HR!E25+Security!E25+IT!E25</f>
        <v>0</v>
      </c>
      <c r="F25" s="43">
        <f>EO!F25+Finance!F25+HR!F25+Security!F25+IT!F25</f>
        <v>0</v>
      </c>
      <c r="G25" s="43">
        <f>EO!G25+Finance!G25+HR!G25+Security!G25+IT!G25</f>
        <v>0</v>
      </c>
      <c r="H25" s="43">
        <f>EO!H25+Finance!H25+HR!H25+Security!H25+IT!H25</f>
        <v>0</v>
      </c>
      <c r="I25" s="43">
        <f>EO!I25+Finance!I25+HR!I25+Security!I25+IT!I25</f>
        <v>0</v>
      </c>
      <c r="J25" s="43">
        <f>EO!J25+Finance!J25+HR!J25+Security!J25+IT!J25</f>
        <v>0</v>
      </c>
      <c r="K25" s="43">
        <f>EO!K25+Finance!K25+HR!K25+Security!K25+IT!K25</f>
        <v>0</v>
      </c>
      <c r="L25" s="43">
        <f>EO!L25+Finance!L25+HR!L25+Security!L25+IT!L25</f>
        <v>0</v>
      </c>
      <c r="M25" s="43">
        <f>EO!M25+Finance!M25+HR!M25+Security!M25+IT!M25</f>
        <v>0</v>
      </c>
      <c r="N25" s="43">
        <f>EO!N25+Finance!N25+HR!N25+Security!N25+IT!N25</f>
        <v>0</v>
      </c>
      <c r="O25" s="43">
        <f>EO!O25+Finance!O25+HR!O25+Security!O25+IT!O25</f>
        <v>0</v>
      </c>
      <c r="P25" s="43">
        <f>EO!P25+Finance!P25+HR!P25+Security!P25+IT!P25</f>
        <v>0</v>
      </c>
      <c r="Q25" s="3">
        <f t="shared" si="2"/>
        <v>0</v>
      </c>
      <c r="R25" s="39">
        <f>Q25/Summary!$Q$16</f>
        <v>0</v>
      </c>
      <c r="S25" s="39"/>
      <c r="T25" s="35"/>
      <c r="U25" s="40">
        <f t="shared" si="3"/>
        <v>0</v>
      </c>
    </row>
    <row r="26" spans="1:21" s="3" customFormat="1" ht="25.4" customHeight="1">
      <c r="A26" s="3" t="s">
        <v>490</v>
      </c>
      <c r="B26" s="3" t="s">
        <v>51</v>
      </c>
      <c r="D26" s="26" t="s">
        <v>491</v>
      </c>
      <c r="E26" s="43">
        <f>EO!E26+Finance!E26+HR!E26+Security!E26+IT!E26</f>
        <v>3000</v>
      </c>
      <c r="F26" s="43">
        <f>EO!F26+Finance!F26+HR!F26+Security!F26+IT!F26</f>
        <v>3000</v>
      </c>
      <c r="G26" s="43">
        <f>EO!G26+Finance!G26+HR!G26+Security!G26+IT!G26</f>
        <v>2500</v>
      </c>
      <c r="H26" s="43">
        <f>EO!H26+Finance!H26+HR!H26+Security!H26+IT!H26</f>
        <v>6500</v>
      </c>
      <c r="I26" s="43">
        <f>EO!I26+Finance!I26+HR!I26+Security!I26+IT!I26</f>
        <v>6500</v>
      </c>
      <c r="J26" s="43">
        <f>EO!J26+Finance!J26+HR!J26+Security!J26+IT!J26</f>
        <v>6500</v>
      </c>
      <c r="K26" s="43">
        <f>EO!K26+Finance!K26+HR!K26+Security!K26+IT!K26</f>
        <v>2500</v>
      </c>
      <c r="L26" s="43">
        <f>EO!L26+Finance!L26+HR!L26+Security!L26+IT!L26</f>
        <v>2500</v>
      </c>
      <c r="M26" s="43">
        <f>EO!M26+Finance!M26+HR!M26+Security!M26+IT!M26</f>
        <v>6500</v>
      </c>
      <c r="N26" s="43">
        <f>EO!N26+Finance!N26+HR!N26+Security!N26+IT!N26</f>
        <v>7500</v>
      </c>
      <c r="O26" s="43">
        <f>EO!O26+Finance!O26+HR!O26+Security!O26+IT!O26</f>
        <v>6800</v>
      </c>
      <c r="P26" s="43">
        <f>EO!P26+Finance!P26+HR!P26+Security!P26+IT!P26</f>
        <v>9800</v>
      </c>
      <c r="Q26" s="3">
        <f t="shared" si="2"/>
        <v>63600</v>
      </c>
      <c r="R26" s="39">
        <f>Q26/Summary!$Q$16</f>
        <v>7.9849103474353999E-4</v>
      </c>
      <c r="S26" s="39"/>
      <c r="T26" s="35"/>
      <c r="U26" s="40" t="e">
        <f t="shared" si="3"/>
        <v>#DIV/0!</v>
      </c>
    </row>
    <row r="27" spans="1:21" s="3" customFormat="1" ht="25.4" hidden="1" customHeight="1">
      <c r="A27" s="3" t="s">
        <v>492</v>
      </c>
      <c r="B27" s="3" t="s">
        <v>51</v>
      </c>
      <c r="D27" s="26" t="s">
        <v>493</v>
      </c>
      <c r="E27" s="43">
        <f>EO!E27+Finance!E27+HR!E27+Security!E27+IT!E27</f>
        <v>0</v>
      </c>
      <c r="F27" s="43">
        <f>EO!F27+Finance!F27+HR!F27+Security!F27+IT!F27</f>
        <v>0</v>
      </c>
      <c r="G27" s="43">
        <f>EO!G27+Finance!G27+HR!G27+Security!G27+IT!G27</f>
        <v>0</v>
      </c>
      <c r="H27" s="43">
        <f>EO!H27+Finance!H27+HR!H27+Security!H27+IT!H27</f>
        <v>0</v>
      </c>
      <c r="I27" s="43">
        <f>EO!I27+Finance!I27+HR!I27+Security!I27+IT!I27</f>
        <v>0</v>
      </c>
      <c r="J27" s="43">
        <f>EO!J27+Finance!J27+HR!J27+Security!J27+IT!J27</f>
        <v>0</v>
      </c>
      <c r="K27" s="43">
        <f>EO!K27+Finance!K27+HR!K27+Security!K27+IT!K27</f>
        <v>0</v>
      </c>
      <c r="L27" s="43">
        <f>EO!L27+Finance!L27+HR!L27+Security!L27+IT!L27</f>
        <v>0</v>
      </c>
      <c r="M27" s="43">
        <f>EO!M27+Finance!M27+HR!M27+Security!M27+IT!M27</f>
        <v>0</v>
      </c>
      <c r="N27" s="43">
        <f>EO!N27+Finance!N27+HR!N27+Security!N27+IT!N27</f>
        <v>0</v>
      </c>
      <c r="O27" s="43">
        <f>EO!O27+Finance!O27+HR!O27+Security!O27+IT!O27</f>
        <v>0</v>
      </c>
      <c r="P27" s="43">
        <f>EO!P27+Finance!P27+HR!P27+Security!P27+IT!P27</f>
        <v>0</v>
      </c>
      <c r="Q27" s="3">
        <f t="shared" si="2"/>
        <v>0</v>
      </c>
      <c r="R27" s="39">
        <f>Q27/Summary!$Q$16</f>
        <v>0</v>
      </c>
      <c r="S27" s="39"/>
      <c r="T27" s="35"/>
      <c r="U27" s="40">
        <f t="shared" si="3"/>
        <v>0</v>
      </c>
    </row>
    <row r="28" spans="1:21" s="3" customFormat="1" ht="25.4" hidden="1" customHeight="1">
      <c r="A28" s="3" t="s">
        <v>494</v>
      </c>
      <c r="B28" s="3" t="s">
        <v>51</v>
      </c>
      <c r="D28" s="26" t="s">
        <v>495</v>
      </c>
      <c r="E28" s="43">
        <f>EO!E28+Finance!E28+HR!E28+Security!E28+IT!E28</f>
        <v>0</v>
      </c>
      <c r="F28" s="43">
        <f>EO!F28+Finance!F28+HR!F28+Security!F28+IT!F28</f>
        <v>0</v>
      </c>
      <c r="G28" s="43">
        <f>EO!G28+Finance!G28+HR!G28+Security!G28+IT!G28</f>
        <v>0</v>
      </c>
      <c r="H28" s="43">
        <f>EO!H28+Finance!H28+HR!H28+Security!H28+IT!H28</f>
        <v>0</v>
      </c>
      <c r="I28" s="43">
        <f>EO!I28+Finance!I28+HR!I28+Security!I28+IT!I28</f>
        <v>0</v>
      </c>
      <c r="J28" s="43">
        <f>EO!J28+Finance!J28+HR!J28+Security!J28+IT!J28</f>
        <v>0</v>
      </c>
      <c r="K28" s="43">
        <f>EO!K28+Finance!K28+HR!K28+Security!K28+IT!K28</f>
        <v>0</v>
      </c>
      <c r="L28" s="43">
        <f>EO!L28+Finance!L28+HR!L28+Security!L28+IT!L28</f>
        <v>0</v>
      </c>
      <c r="M28" s="43">
        <f>EO!M28+Finance!M28+HR!M28+Security!M28+IT!M28</f>
        <v>0</v>
      </c>
      <c r="N28" s="43">
        <f>EO!N28+Finance!N28+HR!N28+Security!N28+IT!N28</f>
        <v>0</v>
      </c>
      <c r="O28" s="43">
        <f>EO!O28+Finance!O28+HR!O28+Security!O28+IT!O28</f>
        <v>0</v>
      </c>
      <c r="P28" s="43">
        <f>EO!P28+Finance!P28+HR!P28+Security!P28+IT!P28</f>
        <v>0</v>
      </c>
      <c r="Q28" s="3">
        <f t="shared" si="2"/>
        <v>0</v>
      </c>
      <c r="R28" s="39">
        <f>Q28/Summary!$Q$16</f>
        <v>0</v>
      </c>
      <c r="S28" s="39"/>
      <c r="T28" s="35"/>
      <c r="U28" s="40">
        <f t="shared" si="3"/>
        <v>0</v>
      </c>
    </row>
    <row r="29" spans="1:21" s="3" customFormat="1" ht="25.4" hidden="1" customHeight="1">
      <c r="A29" s="3" t="s">
        <v>496</v>
      </c>
      <c r="B29" s="3" t="s">
        <v>51</v>
      </c>
      <c r="D29" s="26" t="s">
        <v>171</v>
      </c>
      <c r="E29" s="43">
        <f>EO!E29+Finance!E29+HR!E29+Security!E29+IT!E29</f>
        <v>0</v>
      </c>
      <c r="F29" s="43">
        <f>EO!F29+Finance!F29+HR!F29+Security!F29+IT!F29</f>
        <v>0</v>
      </c>
      <c r="G29" s="43">
        <f>EO!G29+Finance!G29+HR!G29+Security!G29+IT!G29</f>
        <v>0</v>
      </c>
      <c r="H29" s="43">
        <f>EO!H29+Finance!H29+HR!H29+Security!H29+IT!H29</f>
        <v>0</v>
      </c>
      <c r="I29" s="43">
        <f>EO!I29+Finance!I29+HR!I29+Security!I29+IT!I29</f>
        <v>0</v>
      </c>
      <c r="J29" s="43">
        <f>EO!J29+Finance!J29+HR!J29+Security!J29+IT!J29</f>
        <v>0</v>
      </c>
      <c r="K29" s="43">
        <f>EO!K29+Finance!K29+HR!K29+Security!K29+IT!K29</f>
        <v>0</v>
      </c>
      <c r="L29" s="43">
        <f>EO!L29+Finance!L29+HR!L29+Security!L29+IT!L29</f>
        <v>0</v>
      </c>
      <c r="M29" s="43">
        <f>EO!M29+Finance!M29+HR!M29+Security!M29+IT!M29</f>
        <v>0</v>
      </c>
      <c r="N29" s="43">
        <f>EO!N29+Finance!N29+HR!N29+Security!N29+IT!N29</f>
        <v>0</v>
      </c>
      <c r="O29" s="43">
        <f>EO!O29+Finance!O29+HR!O29+Security!O29+IT!O29</f>
        <v>0</v>
      </c>
      <c r="P29" s="43">
        <f>EO!P29+Finance!P29+HR!P29+Security!P29+IT!P29</f>
        <v>0</v>
      </c>
      <c r="Q29" s="3">
        <f t="shared" si="2"/>
        <v>0</v>
      </c>
      <c r="R29" s="39">
        <f>Q29/Summary!$Q$16</f>
        <v>0</v>
      </c>
      <c r="S29" s="39"/>
      <c r="T29" s="35"/>
      <c r="U29" s="40">
        <f t="shared" si="3"/>
        <v>0</v>
      </c>
    </row>
    <row r="30" spans="1:21" s="3" customFormat="1" ht="25.4" hidden="1" customHeight="1">
      <c r="A30" s="3" t="s">
        <v>497</v>
      </c>
      <c r="B30" s="3" t="s">
        <v>51</v>
      </c>
      <c r="D30" s="26" t="s">
        <v>173</v>
      </c>
      <c r="E30" s="43">
        <f>EO!E30+Finance!E30+HR!E30+Security!E30+IT!E30</f>
        <v>0</v>
      </c>
      <c r="F30" s="43">
        <f>EO!F30+Finance!F30+HR!F30+Security!F30+IT!F30</f>
        <v>0</v>
      </c>
      <c r="G30" s="43">
        <f>EO!G30+Finance!G30+HR!G30+Security!G30+IT!G30</f>
        <v>0</v>
      </c>
      <c r="H30" s="43">
        <f>EO!H30+Finance!H30+HR!H30+Security!H30+IT!H30</f>
        <v>0</v>
      </c>
      <c r="I30" s="43">
        <f>EO!I30+Finance!I30+HR!I30+Security!I30+IT!I30</f>
        <v>0</v>
      </c>
      <c r="J30" s="43">
        <f>EO!J30+Finance!J30+HR!J30+Security!J30+IT!J30</f>
        <v>0</v>
      </c>
      <c r="K30" s="43">
        <f>EO!K30+Finance!K30+HR!K30+Security!K30+IT!K30</f>
        <v>0</v>
      </c>
      <c r="L30" s="43">
        <f>EO!L30+Finance!L30+HR!L30+Security!L30+IT!L30</f>
        <v>0</v>
      </c>
      <c r="M30" s="43">
        <f>EO!M30+Finance!M30+HR!M30+Security!M30+IT!M30</f>
        <v>0</v>
      </c>
      <c r="N30" s="43">
        <f>EO!N30+Finance!N30+HR!N30+Security!N30+IT!N30</f>
        <v>0</v>
      </c>
      <c r="O30" s="43">
        <f>EO!O30+Finance!O30+HR!O30+Security!O30+IT!O30</f>
        <v>0</v>
      </c>
      <c r="P30" s="43">
        <f>EO!P30+Finance!P30+HR!P30+Security!P30+IT!P30</f>
        <v>0</v>
      </c>
      <c r="Q30" s="3">
        <f t="shared" si="2"/>
        <v>0</v>
      </c>
      <c r="R30" s="39">
        <f>Q30/Summary!$Q$16</f>
        <v>0</v>
      </c>
      <c r="S30" s="39"/>
      <c r="T30" s="35"/>
      <c r="U30" s="40">
        <f t="shared" si="3"/>
        <v>0</v>
      </c>
    </row>
    <row r="31" spans="1:21" s="3" customFormat="1" ht="25.4" customHeight="1">
      <c r="A31" s="3" t="s">
        <v>498</v>
      </c>
      <c r="B31" s="3" t="s">
        <v>51</v>
      </c>
      <c r="D31" s="26" t="s">
        <v>499</v>
      </c>
      <c r="E31" s="43">
        <f>EO!E31+Finance!E31+HR!E31+Security!E31+IT!E31</f>
        <v>0</v>
      </c>
      <c r="F31" s="43">
        <f>EO!F31+Finance!F31+HR!F31+Security!F31+IT!F31</f>
        <v>0</v>
      </c>
      <c r="G31" s="43">
        <f>EO!G31+Finance!G31+HR!G31+Security!G31+IT!G31</f>
        <v>0</v>
      </c>
      <c r="H31" s="43">
        <f>EO!H31+Finance!H31+HR!H31+Security!H31+IT!H31</f>
        <v>0</v>
      </c>
      <c r="I31" s="43">
        <f>EO!I31+Finance!I31+HR!I31+Security!I31+IT!I31</f>
        <v>0</v>
      </c>
      <c r="J31" s="43">
        <f>EO!J31+Finance!J31+HR!J31+Security!J31+IT!J31</f>
        <v>0</v>
      </c>
      <c r="K31" s="43">
        <f>EO!K31+Finance!K31+HR!K31+Security!K31+IT!K31</f>
        <v>0</v>
      </c>
      <c r="L31" s="43">
        <f>EO!L31+Finance!L31+HR!L31+Security!L31+IT!L31</f>
        <v>0</v>
      </c>
      <c r="M31" s="43">
        <f>EO!M31+Finance!M31+HR!M31+Security!M31+IT!M31</f>
        <v>0</v>
      </c>
      <c r="N31" s="43">
        <f>EO!N31+Finance!N31+HR!N31+Security!N31+IT!N31</f>
        <v>0</v>
      </c>
      <c r="O31" s="43">
        <f>EO!O31+Finance!O31+HR!O31+Security!O31+IT!O31</f>
        <v>0</v>
      </c>
      <c r="P31" s="43">
        <f>EO!P31+Finance!P31+HR!P31+Security!P31+IT!P31</f>
        <v>0</v>
      </c>
      <c r="Q31" s="3">
        <f t="shared" si="2"/>
        <v>0</v>
      </c>
      <c r="R31" s="39">
        <f>Q31/Summary!$Q$16</f>
        <v>0</v>
      </c>
      <c r="S31" s="39"/>
      <c r="T31" s="35"/>
      <c r="U31" s="40">
        <f t="shared" si="3"/>
        <v>0</v>
      </c>
    </row>
    <row r="32" spans="1:21" s="3" customFormat="1" ht="25.4" hidden="1" customHeight="1">
      <c r="A32" s="3" t="s">
        <v>500</v>
      </c>
      <c r="B32" s="3" t="s">
        <v>51</v>
      </c>
      <c r="D32" s="26" t="s">
        <v>501</v>
      </c>
      <c r="E32" s="43">
        <f>EO!E32+Finance!E32+HR!E32+Security!E32+IT!E32</f>
        <v>0</v>
      </c>
      <c r="F32" s="43">
        <f>EO!F32+Finance!F32+HR!F32+Security!F32+IT!F32</f>
        <v>0</v>
      </c>
      <c r="G32" s="43">
        <f>EO!G32+Finance!G32+HR!G32+Security!G32+IT!G32</f>
        <v>0</v>
      </c>
      <c r="H32" s="43">
        <f>EO!H32+Finance!H32+HR!H32+Security!H32+IT!H32</f>
        <v>0</v>
      </c>
      <c r="I32" s="43">
        <f>EO!I32+Finance!I32+HR!I32+Security!I32+IT!I32</f>
        <v>0</v>
      </c>
      <c r="J32" s="43">
        <f>EO!J32+Finance!J32+HR!J32+Security!J32+IT!J32</f>
        <v>0</v>
      </c>
      <c r="K32" s="43">
        <f>EO!K32+Finance!K32+HR!K32+Security!K32+IT!K32</f>
        <v>0</v>
      </c>
      <c r="L32" s="43">
        <f>EO!L32+Finance!L32+HR!L32+Security!L32+IT!L32</f>
        <v>0</v>
      </c>
      <c r="M32" s="43">
        <f>EO!M32+Finance!M32+HR!M32+Security!M32+IT!M32</f>
        <v>0</v>
      </c>
      <c r="N32" s="43">
        <f>EO!N32+Finance!N32+HR!N32+Security!N32+IT!N32</f>
        <v>0</v>
      </c>
      <c r="O32" s="43">
        <f>EO!O32+Finance!O32+HR!O32+Security!O32+IT!O32</f>
        <v>0</v>
      </c>
      <c r="P32" s="43">
        <f>EO!P32+Finance!P32+HR!P32+Security!P32+IT!P32</f>
        <v>0</v>
      </c>
      <c r="Q32" s="3">
        <f t="shared" si="2"/>
        <v>0</v>
      </c>
      <c r="R32" s="39">
        <f>Q32/Summary!$Q$16</f>
        <v>0</v>
      </c>
      <c r="S32" s="39"/>
      <c r="T32" s="35"/>
      <c r="U32" s="40">
        <f t="shared" si="3"/>
        <v>0</v>
      </c>
    </row>
    <row r="33" spans="1:21" s="3" customFormat="1" ht="25.4" hidden="1" customHeight="1">
      <c r="A33" s="3" t="s">
        <v>502</v>
      </c>
      <c r="B33" s="3" t="s">
        <v>51</v>
      </c>
      <c r="D33" s="26" t="s">
        <v>503</v>
      </c>
      <c r="E33" s="43">
        <f>EO!E33+Finance!E33+HR!E33+Security!E33+IT!E33</f>
        <v>0</v>
      </c>
      <c r="F33" s="43">
        <f>EO!F33+Finance!F33+HR!F33+Security!F33+IT!F33</f>
        <v>0</v>
      </c>
      <c r="G33" s="43">
        <f>EO!G33+Finance!G33+HR!G33+Security!G33+IT!G33</f>
        <v>0</v>
      </c>
      <c r="H33" s="43">
        <f>EO!H33+Finance!H33+HR!H33+Security!H33+IT!H33</f>
        <v>0</v>
      </c>
      <c r="I33" s="43">
        <f>EO!I33+Finance!I33+HR!I33+Security!I33+IT!I33</f>
        <v>0</v>
      </c>
      <c r="J33" s="43">
        <f>EO!J33+Finance!J33+HR!J33+Security!J33+IT!J33</f>
        <v>0</v>
      </c>
      <c r="K33" s="43">
        <f>EO!K33+Finance!K33+HR!K33+Security!K33+IT!K33</f>
        <v>0</v>
      </c>
      <c r="L33" s="43">
        <f>EO!L33+Finance!L33+HR!L33+Security!L33+IT!L33</f>
        <v>0</v>
      </c>
      <c r="M33" s="43">
        <f>EO!M33+Finance!M33+HR!M33+Security!M33+IT!M33</f>
        <v>0</v>
      </c>
      <c r="N33" s="43">
        <f>EO!N33+Finance!N33+HR!N33+Security!N33+IT!N33</f>
        <v>0</v>
      </c>
      <c r="O33" s="43">
        <f>EO!O33+Finance!O33+HR!O33+Security!O33+IT!O33</f>
        <v>0</v>
      </c>
      <c r="P33" s="43">
        <f>EO!P33+Finance!P33+HR!P33+Security!P33+IT!P33</f>
        <v>0</v>
      </c>
      <c r="Q33" s="3">
        <f t="shared" si="2"/>
        <v>0</v>
      </c>
      <c r="R33" s="39">
        <f>Q33/Summary!$Q$16</f>
        <v>0</v>
      </c>
      <c r="S33" s="39"/>
      <c r="T33" s="35"/>
      <c r="U33" s="40">
        <f t="shared" si="3"/>
        <v>0</v>
      </c>
    </row>
    <row r="34" spans="1:21" s="3" customFormat="1" ht="25.4" hidden="1" customHeight="1">
      <c r="A34" s="3" t="s">
        <v>504</v>
      </c>
      <c r="B34" s="3" t="s">
        <v>51</v>
      </c>
      <c r="D34" s="26" t="s">
        <v>505</v>
      </c>
      <c r="E34" s="43">
        <f>EO!E34+Finance!E34+HR!E34+Security!E34+IT!E34</f>
        <v>0</v>
      </c>
      <c r="F34" s="43">
        <f>EO!F34+Finance!F34+HR!F34+Security!F34+IT!F34</f>
        <v>0</v>
      </c>
      <c r="G34" s="43">
        <f>EO!G34+Finance!G34+HR!G34+Security!G34+IT!G34</f>
        <v>0</v>
      </c>
      <c r="H34" s="43">
        <f>EO!H34+Finance!H34+HR!H34+Security!H34+IT!H34</f>
        <v>0</v>
      </c>
      <c r="I34" s="43">
        <f>EO!I34+Finance!I34+HR!I34+Security!I34+IT!I34</f>
        <v>0</v>
      </c>
      <c r="J34" s="43">
        <f>EO!J34+Finance!J34+HR!J34+Security!J34+IT!J34</f>
        <v>0</v>
      </c>
      <c r="K34" s="43">
        <f>EO!K34+Finance!K34+HR!K34+Security!K34+IT!K34</f>
        <v>0</v>
      </c>
      <c r="L34" s="43">
        <f>EO!L34+Finance!L34+HR!L34+Security!L34+IT!L34</f>
        <v>0</v>
      </c>
      <c r="M34" s="43">
        <f>EO!M34+Finance!M34+HR!M34+Security!M34+IT!M34</f>
        <v>0</v>
      </c>
      <c r="N34" s="43">
        <f>EO!N34+Finance!N34+HR!N34+Security!N34+IT!N34</f>
        <v>0</v>
      </c>
      <c r="O34" s="43">
        <f>EO!O34+Finance!O34+HR!O34+Security!O34+IT!O34</f>
        <v>0</v>
      </c>
      <c r="P34" s="43">
        <f>EO!P34+Finance!P34+HR!P34+Security!P34+IT!P34</f>
        <v>0</v>
      </c>
      <c r="Q34" s="3">
        <f t="shared" si="2"/>
        <v>0</v>
      </c>
      <c r="R34" s="39">
        <f>Q34/Summary!$Q$16</f>
        <v>0</v>
      </c>
      <c r="S34" s="39"/>
      <c r="T34" s="35"/>
      <c r="U34" s="40">
        <f t="shared" si="3"/>
        <v>0</v>
      </c>
    </row>
    <row r="35" spans="1:21" s="3" customFormat="1" ht="25.4" hidden="1" customHeight="1">
      <c r="A35" s="3" t="s">
        <v>506</v>
      </c>
      <c r="B35" s="3" t="s">
        <v>51</v>
      </c>
      <c r="D35" s="26" t="s">
        <v>507</v>
      </c>
      <c r="E35" s="43">
        <f>EO!E35+Finance!E35+HR!E35+Security!E35+IT!E35</f>
        <v>0</v>
      </c>
      <c r="F35" s="43">
        <f>EO!F35+Finance!F35+HR!F35+Security!F35+IT!F35</f>
        <v>0</v>
      </c>
      <c r="G35" s="43">
        <f>EO!G35+Finance!G35+HR!G35+Security!G35+IT!G35</f>
        <v>0</v>
      </c>
      <c r="H35" s="43">
        <f>EO!H35+Finance!H35+HR!H35+Security!H35+IT!H35</f>
        <v>0</v>
      </c>
      <c r="I35" s="43">
        <f>EO!I35+Finance!I35+HR!I35+Security!I35+IT!I35</f>
        <v>0</v>
      </c>
      <c r="J35" s="43">
        <f>EO!J35+Finance!J35+HR!J35+Security!J35+IT!J35</f>
        <v>0</v>
      </c>
      <c r="K35" s="43">
        <f>EO!K35+Finance!K35+HR!K35+Security!K35+IT!K35</f>
        <v>0</v>
      </c>
      <c r="L35" s="43">
        <f>EO!L35+Finance!L35+HR!L35+Security!L35+IT!L35</f>
        <v>0</v>
      </c>
      <c r="M35" s="43">
        <f>EO!M35+Finance!M35+HR!M35+Security!M35+IT!M35</f>
        <v>0</v>
      </c>
      <c r="N35" s="43">
        <f>EO!N35+Finance!N35+HR!N35+Security!N35+IT!N35</f>
        <v>0</v>
      </c>
      <c r="O35" s="43">
        <f>EO!O35+Finance!O35+HR!O35+Security!O35+IT!O35</f>
        <v>0</v>
      </c>
      <c r="P35" s="43">
        <f>EO!P35+Finance!P35+HR!P35+Security!P35+IT!P35</f>
        <v>0</v>
      </c>
      <c r="Q35" s="3">
        <f t="shared" si="2"/>
        <v>0</v>
      </c>
      <c r="R35" s="39">
        <f>Q35/Summary!$Q$16</f>
        <v>0</v>
      </c>
      <c r="S35" s="39"/>
      <c r="T35" s="35"/>
      <c r="U35" s="40">
        <f t="shared" si="3"/>
        <v>0</v>
      </c>
    </row>
    <row r="36" spans="1:21" s="3" customFormat="1" ht="25.4" hidden="1" customHeight="1">
      <c r="A36" s="3" t="s">
        <v>508</v>
      </c>
      <c r="B36" s="3" t="s">
        <v>51</v>
      </c>
      <c r="D36" s="26" t="s">
        <v>509</v>
      </c>
      <c r="E36" s="43">
        <f>EO!E36+Finance!E36+HR!E36+Security!E36+IT!E36</f>
        <v>0</v>
      </c>
      <c r="F36" s="43">
        <f>EO!F36+Finance!F36+HR!F36+Security!F36+IT!F36</f>
        <v>0</v>
      </c>
      <c r="G36" s="43">
        <f>EO!G36+Finance!G36+HR!G36+Security!G36+IT!G36</f>
        <v>0</v>
      </c>
      <c r="H36" s="43">
        <f>EO!H36+Finance!H36+HR!H36+Security!H36+IT!H36</f>
        <v>0</v>
      </c>
      <c r="I36" s="43">
        <f>EO!I36+Finance!I36+HR!I36+Security!I36+IT!I36</f>
        <v>0</v>
      </c>
      <c r="J36" s="43">
        <f>EO!J36+Finance!J36+HR!J36+Security!J36+IT!J36</f>
        <v>0</v>
      </c>
      <c r="K36" s="43">
        <f>EO!K36+Finance!K36+HR!K36+Security!K36+IT!K36</f>
        <v>0</v>
      </c>
      <c r="L36" s="43">
        <f>EO!L36+Finance!L36+HR!L36+Security!L36+IT!L36</f>
        <v>0</v>
      </c>
      <c r="M36" s="43">
        <f>EO!M36+Finance!M36+HR!M36+Security!M36+IT!M36</f>
        <v>0</v>
      </c>
      <c r="N36" s="43">
        <f>EO!N36+Finance!N36+HR!N36+Security!N36+IT!N36</f>
        <v>0</v>
      </c>
      <c r="O36" s="43">
        <f>EO!O36+Finance!O36+HR!O36+Security!O36+IT!O36</f>
        <v>0</v>
      </c>
      <c r="P36" s="43">
        <f>EO!P36+Finance!P36+HR!P36+Security!P36+IT!P36</f>
        <v>0</v>
      </c>
      <c r="Q36" s="3">
        <f t="shared" si="2"/>
        <v>0</v>
      </c>
      <c r="R36" s="39">
        <f>Q36/Summary!$Q$16</f>
        <v>0</v>
      </c>
      <c r="S36" s="39"/>
      <c r="T36" s="35"/>
      <c r="U36" s="40">
        <f t="shared" si="3"/>
        <v>0</v>
      </c>
    </row>
    <row r="37" spans="1:21" s="3" customFormat="1" ht="25.4" hidden="1" customHeight="1">
      <c r="A37" s="3" t="s">
        <v>510</v>
      </c>
      <c r="B37" s="3" t="s">
        <v>51</v>
      </c>
      <c r="D37" s="26" t="s">
        <v>511</v>
      </c>
      <c r="E37" s="43">
        <f>EO!E37+Finance!E37+HR!E37+Security!E37+IT!E37</f>
        <v>0</v>
      </c>
      <c r="F37" s="43">
        <f>EO!F37+Finance!F37+HR!F37+Security!F37+IT!F37</f>
        <v>0</v>
      </c>
      <c r="G37" s="43">
        <f>EO!G37+Finance!G37+HR!G37+Security!G37+IT!G37</f>
        <v>0</v>
      </c>
      <c r="H37" s="43">
        <f>EO!H37+Finance!H37+HR!H37+Security!H37+IT!H37</f>
        <v>0</v>
      </c>
      <c r="I37" s="43">
        <f>EO!I37+Finance!I37+HR!I37+Security!I37+IT!I37</f>
        <v>0</v>
      </c>
      <c r="J37" s="43">
        <f>EO!J37+Finance!J37+HR!J37+Security!J37+IT!J37</f>
        <v>0</v>
      </c>
      <c r="K37" s="43">
        <f>EO!K37+Finance!K37+HR!K37+Security!K37+IT!K37</f>
        <v>0</v>
      </c>
      <c r="L37" s="43">
        <f>EO!L37+Finance!L37+HR!L37+Security!L37+IT!L37</f>
        <v>0</v>
      </c>
      <c r="M37" s="43">
        <f>EO!M37+Finance!M37+HR!M37+Security!M37+IT!M37</f>
        <v>0</v>
      </c>
      <c r="N37" s="43">
        <f>EO!N37+Finance!N37+HR!N37+Security!N37+IT!N37</f>
        <v>0</v>
      </c>
      <c r="O37" s="43">
        <f>EO!O37+Finance!O37+HR!O37+Security!O37+IT!O37</f>
        <v>0</v>
      </c>
      <c r="P37" s="43">
        <f>EO!P37+Finance!P37+HR!P37+Security!P37+IT!P37</f>
        <v>0</v>
      </c>
      <c r="Q37" s="3">
        <f t="shared" si="2"/>
        <v>0</v>
      </c>
      <c r="R37" s="39">
        <f>Q37/Summary!$Q$16</f>
        <v>0</v>
      </c>
      <c r="S37" s="39"/>
      <c r="T37" s="35"/>
      <c r="U37" s="40">
        <f t="shared" si="3"/>
        <v>0</v>
      </c>
    </row>
    <row r="38" spans="1:21" s="3" customFormat="1" ht="25.4" hidden="1" customHeight="1">
      <c r="A38" s="3" t="s">
        <v>512</v>
      </c>
      <c r="B38" s="3" t="s">
        <v>51</v>
      </c>
      <c r="D38" s="26" t="s">
        <v>513</v>
      </c>
      <c r="E38" s="43">
        <f>EO!E38+Finance!E38+HR!E38+Security!E38+IT!E38</f>
        <v>0</v>
      </c>
      <c r="F38" s="43">
        <f>EO!F38+Finance!F38+HR!F38+Security!F38+IT!F38</f>
        <v>0</v>
      </c>
      <c r="G38" s="43">
        <f>EO!G38+Finance!G38+HR!G38+Security!G38+IT!G38</f>
        <v>0</v>
      </c>
      <c r="H38" s="43">
        <f>EO!H38+Finance!H38+HR!H38+Security!H38+IT!H38</f>
        <v>0</v>
      </c>
      <c r="I38" s="43">
        <f>EO!I38+Finance!I38+HR!I38+Security!I38+IT!I38</f>
        <v>0</v>
      </c>
      <c r="J38" s="43">
        <f>EO!J38+Finance!J38+HR!J38+Security!J38+IT!J38</f>
        <v>0</v>
      </c>
      <c r="K38" s="43">
        <f>EO!K38+Finance!K38+HR!K38+Security!K38+IT!K38</f>
        <v>0</v>
      </c>
      <c r="L38" s="43">
        <f>EO!L38+Finance!L38+HR!L38+Security!L38+IT!L38</f>
        <v>0</v>
      </c>
      <c r="M38" s="43">
        <f>EO!M38+Finance!M38+HR!M38+Security!M38+IT!M38</f>
        <v>0</v>
      </c>
      <c r="N38" s="43">
        <f>EO!N38+Finance!N38+HR!N38+Security!N38+IT!N38</f>
        <v>0</v>
      </c>
      <c r="O38" s="43">
        <f>EO!O38+Finance!O38+HR!O38+Security!O38+IT!O38</f>
        <v>0</v>
      </c>
      <c r="P38" s="43">
        <f>EO!P38+Finance!P38+HR!P38+Security!P38+IT!P38</f>
        <v>0</v>
      </c>
      <c r="Q38" s="3">
        <f t="shared" si="2"/>
        <v>0</v>
      </c>
      <c r="R38" s="39">
        <f>Q38/Summary!$Q$16</f>
        <v>0</v>
      </c>
      <c r="S38" s="39"/>
      <c r="T38" s="35"/>
      <c r="U38" s="40">
        <f t="shared" si="3"/>
        <v>0</v>
      </c>
    </row>
    <row r="39" spans="1:21" s="3" customFormat="1" ht="25.4" hidden="1" customHeight="1">
      <c r="A39" s="3" t="s">
        <v>514</v>
      </c>
      <c r="B39" s="3" t="s">
        <v>51</v>
      </c>
      <c r="D39" s="26" t="s">
        <v>515</v>
      </c>
      <c r="E39" s="43">
        <f>EO!E39+Finance!E39+HR!E39+Security!E39+IT!E39</f>
        <v>0</v>
      </c>
      <c r="F39" s="43">
        <f>EO!F39+Finance!F39+HR!F39+Security!F39+IT!F39</f>
        <v>0</v>
      </c>
      <c r="G39" s="43">
        <f>EO!G39+Finance!G39+HR!G39+Security!G39+IT!G39</f>
        <v>0</v>
      </c>
      <c r="H39" s="43">
        <f>EO!H39+Finance!H39+HR!H39+Security!H39+IT!H39</f>
        <v>0</v>
      </c>
      <c r="I39" s="43">
        <f>EO!I39+Finance!I39+HR!I39+Security!I39+IT!I39</f>
        <v>0</v>
      </c>
      <c r="J39" s="43">
        <f>EO!J39+Finance!J39+HR!J39+Security!J39+IT!J39</f>
        <v>0</v>
      </c>
      <c r="K39" s="43">
        <f>EO!K39+Finance!K39+HR!K39+Security!K39+IT!K39</f>
        <v>0</v>
      </c>
      <c r="L39" s="43">
        <f>EO!L39+Finance!L39+HR!L39+Security!L39+IT!L39</f>
        <v>0</v>
      </c>
      <c r="M39" s="43">
        <f>EO!M39+Finance!M39+HR!M39+Security!M39+IT!M39</f>
        <v>0</v>
      </c>
      <c r="N39" s="43">
        <f>EO!N39+Finance!N39+HR!N39+Security!N39+IT!N39</f>
        <v>0</v>
      </c>
      <c r="O39" s="43">
        <f>EO!O39+Finance!O39+HR!O39+Security!O39+IT!O39</f>
        <v>0</v>
      </c>
      <c r="P39" s="43">
        <f>EO!P39+Finance!P39+HR!P39+Security!P39+IT!P39</f>
        <v>0</v>
      </c>
      <c r="Q39" s="3">
        <f t="shared" si="2"/>
        <v>0</v>
      </c>
      <c r="R39" s="39">
        <f>Q39/Summary!$Q$16</f>
        <v>0</v>
      </c>
      <c r="S39" s="39"/>
      <c r="T39" s="35"/>
      <c r="U39" s="40">
        <f t="shared" si="3"/>
        <v>0</v>
      </c>
    </row>
    <row r="40" spans="1:21" s="3" customFormat="1" ht="25.4" hidden="1" customHeight="1">
      <c r="A40" s="3" t="s">
        <v>516</v>
      </c>
      <c r="B40" s="3" t="s">
        <v>51</v>
      </c>
      <c r="D40" s="26" t="s">
        <v>517</v>
      </c>
      <c r="E40" s="43">
        <f>EO!E40+Finance!E40+HR!E40+Security!E40+IT!E40</f>
        <v>0</v>
      </c>
      <c r="F40" s="43">
        <f>EO!F40+Finance!F40+HR!F40+Security!F40+IT!F40</f>
        <v>0</v>
      </c>
      <c r="G40" s="43">
        <f>EO!G40+Finance!G40+HR!G40+Security!G40+IT!G40</f>
        <v>0</v>
      </c>
      <c r="H40" s="43">
        <f>EO!H40+Finance!H40+HR!H40+Security!H40+IT!H40</f>
        <v>0</v>
      </c>
      <c r="I40" s="43">
        <f>EO!I40+Finance!I40+HR!I40+Security!I40+IT!I40</f>
        <v>0</v>
      </c>
      <c r="J40" s="43">
        <f>EO!J40+Finance!J40+HR!J40+Security!J40+IT!J40</f>
        <v>0</v>
      </c>
      <c r="K40" s="43">
        <f>EO!K40+Finance!K40+HR!K40+Security!K40+IT!K40</f>
        <v>0</v>
      </c>
      <c r="L40" s="43">
        <f>EO!L40+Finance!L40+HR!L40+Security!L40+IT!L40</f>
        <v>0</v>
      </c>
      <c r="M40" s="43">
        <f>EO!M40+Finance!M40+HR!M40+Security!M40+IT!M40</f>
        <v>0</v>
      </c>
      <c r="N40" s="43">
        <f>EO!N40+Finance!N40+HR!N40+Security!N40+IT!N40</f>
        <v>0</v>
      </c>
      <c r="O40" s="43">
        <f>EO!O40+Finance!O40+HR!O40+Security!O40+IT!O40</f>
        <v>0</v>
      </c>
      <c r="P40" s="43">
        <f>EO!P40+Finance!P40+HR!P40+Security!P40+IT!P40</f>
        <v>0</v>
      </c>
      <c r="Q40" s="3">
        <f t="shared" si="2"/>
        <v>0</v>
      </c>
      <c r="R40" s="39">
        <f>Q40/Summary!$Q$16</f>
        <v>0</v>
      </c>
      <c r="S40" s="39"/>
      <c r="T40" s="35"/>
      <c r="U40" s="40">
        <f t="shared" si="3"/>
        <v>0</v>
      </c>
    </row>
    <row r="41" spans="1:21" s="3" customFormat="1" ht="25.4" hidden="1" customHeight="1">
      <c r="A41" s="3" t="s">
        <v>518</v>
      </c>
      <c r="B41" s="3" t="s">
        <v>51</v>
      </c>
      <c r="D41" s="26" t="s">
        <v>519</v>
      </c>
      <c r="E41" s="43">
        <f>EO!E41+Finance!E41+HR!E41+Security!E41+IT!E41</f>
        <v>0</v>
      </c>
      <c r="F41" s="43">
        <f>EO!F41+Finance!F41+HR!F41+Security!F41+IT!F41</f>
        <v>0</v>
      </c>
      <c r="G41" s="43">
        <f>EO!G41+Finance!G41+HR!G41+Security!G41+IT!G41</f>
        <v>0</v>
      </c>
      <c r="H41" s="43">
        <f>EO!H41+Finance!H41+HR!H41+Security!H41+IT!H41</f>
        <v>0</v>
      </c>
      <c r="I41" s="43">
        <f>EO!I41+Finance!I41+HR!I41+Security!I41+IT!I41</f>
        <v>0</v>
      </c>
      <c r="J41" s="43">
        <f>EO!J41+Finance!J41+HR!J41+Security!J41+IT!J41</f>
        <v>0</v>
      </c>
      <c r="K41" s="43">
        <f>EO!K41+Finance!K41+HR!K41+Security!K41+IT!K41</f>
        <v>0</v>
      </c>
      <c r="L41" s="43">
        <f>EO!L41+Finance!L41+HR!L41+Security!L41+IT!L41</f>
        <v>0</v>
      </c>
      <c r="M41" s="43">
        <f>EO!M41+Finance!M41+HR!M41+Security!M41+IT!M41</f>
        <v>0</v>
      </c>
      <c r="N41" s="43">
        <f>EO!N41+Finance!N41+HR!N41+Security!N41+IT!N41</f>
        <v>0</v>
      </c>
      <c r="O41" s="43">
        <f>EO!O41+Finance!O41+HR!O41+Security!O41+IT!O41</f>
        <v>0</v>
      </c>
      <c r="P41" s="43">
        <f>EO!P41+Finance!P41+HR!P41+Security!P41+IT!P41</f>
        <v>0</v>
      </c>
      <c r="Q41" s="3">
        <f t="shared" si="2"/>
        <v>0</v>
      </c>
      <c r="R41" s="39">
        <f>Q41/Summary!$Q$16</f>
        <v>0</v>
      </c>
      <c r="S41" s="39"/>
      <c r="T41" s="35"/>
      <c r="U41" s="40">
        <f t="shared" si="3"/>
        <v>0</v>
      </c>
    </row>
    <row r="42" spans="1:21" s="3" customFormat="1" ht="25.4" hidden="1" customHeight="1">
      <c r="A42" s="3" t="s">
        <v>520</v>
      </c>
      <c r="B42" s="3" t="s">
        <v>51</v>
      </c>
      <c r="D42" s="26" t="s">
        <v>521</v>
      </c>
      <c r="E42" s="43">
        <f>EO!E42+Finance!E42+HR!E42+Security!E42+IT!E42</f>
        <v>0</v>
      </c>
      <c r="F42" s="43">
        <f>EO!F42+Finance!F42+HR!F42+Security!F42+IT!F42</f>
        <v>0</v>
      </c>
      <c r="G42" s="43">
        <f>EO!G42+Finance!G42+HR!G42+Security!G42+IT!G42</f>
        <v>0</v>
      </c>
      <c r="H42" s="43">
        <f>EO!H42+Finance!H42+HR!H42+Security!H42+IT!H42</f>
        <v>0</v>
      </c>
      <c r="I42" s="43">
        <f>EO!I42+Finance!I42+HR!I42+Security!I42+IT!I42</f>
        <v>0</v>
      </c>
      <c r="J42" s="43">
        <f>EO!J42+Finance!J42+HR!J42+Security!J42+IT!J42</f>
        <v>0</v>
      </c>
      <c r="K42" s="43">
        <f>EO!K42+Finance!K42+HR!K42+Security!K42+IT!K42</f>
        <v>0</v>
      </c>
      <c r="L42" s="43">
        <f>EO!L42+Finance!L42+HR!L42+Security!L42+IT!L42</f>
        <v>0</v>
      </c>
      <c r="M42" s="43">
        <f>EO!M42+Finance!M42+HR!M42+Security!M42+IT!M42</f>
        <v>0</v>
      </c>
      <c r="N42" s="43">
        <f>EO!N42+Finance!N42+HR!N42+Security!N42+IT!N42</f>
        <v>0</v>
      </c>
      <c r="O42" s="43">
        <f>EO!O42+Finance!O42+HR!O42+Security!O42+IT!O42</f>
        <v>0</v>
      </c>
      <c r="P42" s="43">
        <f>EO!P42+Finance!P42+HR!P42+Security!P42+IT!P42</f>
        <v>0</v>
      </c>
      <c r="Q42" s="3">
        <f t="shared" si="2"/>
        <v>0</v>
      </c>
      <c r="R42" s="39">
        <f>Q42/Summary!$Q$16</f>
        <v>0</v>
      </c>
      <c r="S42" s="39"/>
      <c r="T42" s="35"/>
      <c r="U42" s="40">
        <f t="shared" si="3"/>
        <v>0</v>
      </c>
    </row>
    <row r="43" spans="1:21" s="3" customFormat="1" ht="24.75" customHeight="1">
      <c r="A43" s="3" t="s">
        <v>522</v>
      </c>
      <c r="B43" s="3" t="s">
        <v>51</v>
      </c>
      <c r="D43" s="26" t="s">
        <v>523</v>
      </c>
      <c r="E43" s="43">
        <f>EO!E43+Finance!E43+HR!E43+Security!E43+IT!E43</f>
        <v>564</v>
      </c>
      <c r="F43" s="43">
        <f>EO!F43+Finance!F43+HR!F43+Security!F43+IT!F43</f>
        <v>564</v>
      </c>
      <c r="G43" s="43">
        <f>EO!G43+Finance!G43+HR!G43+Security!G43+IT!G43</f>
        <v>564</v>
      </c>
      <c r="H43" s="43">
        <f>EO!H43+Finance!H43+HR!H43+Security!H43+IT!H43</f>
        <v>564</v>
      </c>
      <c r="I43" s="43">
        <f>EO!I43+Finance!I43+HR!I43+Security!I43+IT!I43</f>
        <v>564</v>
      </c>
      <c r="J43" s="43">
        <f>EO!J43+Finance!J43+HR!J43+Security!J43+IT!J43</f>
        <v>564</v>
      </c>
      <c r="K43" s="43">
        <f>EO!K43+Finance!K43+HR!K43+Security!K43+IT!K43</f>
        <v>564</v>
      </c>
      <c r="L43" s="43">
        <f>EO!L43+Finance!L43+HR!L43+Security!L43+IT!L43</f>
        <v>564</v>
      </c>
      <c r="M43" s="43">
        <f>EO!M43+Finance!M43+HR!M43+Security!M43+IT!M43</f>
        <v>564</v>
      </c>
      <c r="N43" s="43">
        <f>EO!N43+Finance!N43+HR!N43+Security!N43+IT!N43</f>
        <v>564</v>
      </c>
      <c r="O43" s="43">
        <f>EO!O43+Finance!O43+HR!O43+Security!O43+IT!O43</f>
        <v>564</v>
      </c>
      <c r="P43" s="43">
        <f>EO!P43+Finance!P43+HR!P43+Security!P43+IT!P43</f>
        <v>564</v>
      </c>
      <c r="Q43" s="3">
        <f t="shared" si="2"/>
        <v>6768</v>
      </c>
      <c r="R43" s="39">
        <f>Q43/Summary!$Q$16</f>
        <v>8.497149879157671E-5</v>
      </c>
      <c r="S43" s="39"/>
      <c r="T43" s="35"/>
      <c r="U43" s="40" t="e">
        <f t="shared" si="3"/>
        <v>#DIV/0!</v>
      </c>
    </row>
    <row r="44" spans="1:21" s="3" customFormat="1" ht="25.4" hidden="1" customHeight="1">
      <c r="A44" s="3" t="s">
        <v>524</v>
      </c>
      <c r="B44" s="3" t="s">
        <v>51</v>
      </c>
      <c r="D44" s="26" t="s">
        <v>525</v>
      </c>
      <c r="E44" s="43">
        <f>EO!E44+Finance!E44+HR!E44+Security!E44+IT!E44</f>
        <v>0</v>
      </c>
      <c r="F44" s="43">
        <f>EO!F44+Finance!F44+HR!F44+Security!F44+IT!F44</f>
        <v>0</v>
      </c>
      <c r="G44" s="43">
        <f>EO!G44+Finance!G44+HR!G44+Security!G44+IT!G44</f>
        <v>0</v>
      </c>
      <c r="H44" s="43">
        <f>EO!H44+Finance!H44+HR!H44+Security!H44+IT!H44</f>
        <v>0</v>
      </c>
      <c r="I44" s="43">
        <f>EO!I44+Finance!I44+HR!I44+Security!I44+IT!I44</f>
        <v>0</v>
      </c>
      <c r="J44" s="43">
        <f>EO!J44+Finance!J44+HR!J44+Security!J44+IT!J44</f>
        <v>0</v>
      </c>
      <c r="K44" s="43">
        <f>EO!K44+Finance!K44+HR!K44+Security!K44+IT!K44</f>
        <v>0</v>
      </c>
      <c r="L44" s="43">
        <f>EO!L44+Finance!L44+HR!L44+Security!L44+IT!L44</f>
        <v>0</v>
      </c>
      <c r="M44" s="43">
        <f>EO!M44+Finance!M44+HR!M44+Security!M44+IT!M44</f>
        <v>0</v>
      </c>
      <c r="N44" s="43">
        <f>EO!N44+Finance!N44+HR!N44+Security!N44+IT!N44</f>
        <v>0</v>
      </c>
      <c r="O44" s="43">
        <f>EO!O44+Finance!O44+HR!O44+Security!O44+IT!O44</f>
        <v>0</v>
      </c>
      <c r="P44" s="43">
        <f>EO!P44+Finance!P44+HR!P44+Security!P44+IT!P44</f>
        <v>0</v>
      </c>
      <c r="Q44" s="3">
        <f t="shared" si="2"/>
        <v>0</v>
      </c>
      <c r="R44" s="39">
        <f>Q44/Summary!$Q$16</f>
        <v>0</v>
      </c>
      <c r="S44" s="39"/>
      <c r="T44" s="35"/>
      <c r="U44" s="40">
        <f t="shared" si="3"/>
        <v>0</v>
      </c>
    </row>
    <row r="45" spans="1:21" s="3" customFormat="1" ht="25.4" hidden="1" customHeight="1">
      <c r="A45" s="3" t="s">
        <v>526</v>
      </c>
      <c r="B45" s="3" t="s">
        <v>51</v>
      </c>
      <c r="D45" s="26" t="s">
        <v>527</v>
      </c>
      <c r="E45" s="43">
        <f>EO!E45+Finance!E45+HR!E45+Security!E45+IT!E45</f>
        <v>0</v>
      </c>
      <c r="F45" s="43">
        <f>EO!F45+Finance!F45+HR!F45+Security!F45+IT!F45</f>
        <v>0</v>
      </c>
      <c r="G45" s="43">
        <f>EO!G45+Finance!G45+HR!G45+Security!G45+IT!G45</f>
        <v>0</v>
      </c>
      <c r="H45" s="43">
        <f>EO!H45+Finance!H45+HR!H45+Security!H45+IT!H45</f>
        <v>0</v>
      </c>
      <c r="I45" s="43">
        <f>EO!I45+Finance!I45+HR!I45+Security!I45+IT!I45</f>
        <v>0</v>
      </c>
      <c r="J45" s="43">
        <f>EO!J45+Finance!J45+HR!J45+Security!J45+IT!J45</f>
        <v>0</v>
      </c>
      <c r="K45" s="43">
        <f>EO!K45+Finance!K45+HR!K45+Security!K45+IT!K45</f>
        <v>0</v>
      </c>
      <c r="L45" s="43">
        <f>EO!L45+Finance!L45+HR!L45+Security!L45+IT!L45</f>
        <v>0</v>
      </c>
      <c r="M45" s="43">
        <f>EO!M45+Finance!M45+HR!M45+Security!M45+IT!M45</f>
        <v>0</v>
      </c>
      <c r="N45" s="43">
        <f>EO!N45+Finance!N45+HR!N45+Security!N45+IT!N45</f>
        <v>0</v>
      </c>
      <c r="O45" s="43">
        <f>EO!O45+Finance!O45+HR!O45+Security!O45+IT!O45</f>
        <v>0</v>
      </c>
      <c r="P45" s="43">
        <f>EO!P45+Finance!P45+HR!P45+Security!P45+IT!P45</f>
        <v>0</v>
      </c>
      <c r="Q45" s="3">
        <f t="shared" si="2"/>
        <v>0</v>
      </c>
      <c r="R45" s="39">
        <f>Q45/Summary!$Q$16</f>
        <v>0</v>
      </c>
      <c r="S45" s="39"/>
      <c r="T45" s="35"/>
      <c r="U45" s="40">
        <f t="shared" si="3"/>
        <v>0</v>
      </c>
    </row>
    <row r="46" spans="1:21" s="3" customFormat="1" ht="25.4" hidden="1" customHeight="1">
      <c r="A46" s="3" t="s">
        <v>528</v>
      </c>
      <c r="B46" s="3" t="s">
        <v>51</v>
      </c>
      <c r="D46" s="29" t="s">
        <v>529</v>
      </c>
      <c r="E46" s="43">
        <f>EO!E46+Finance!E46+HR!E46+Security!E46+IT!E46</f>
        <v>0</v>
      </c>
      <c r="F46" s="43">
        <f>EO!F46+Finance!F46+HR!F46+Security!F46+IT!F46</f>
        <v>0</v>
      </c>
      <c r="G46" s="43">
        <f>EO!G46+Finance!G46+HR!G46+Security!G46+IT!G46</f>
        <v>0</v>
      </c>
      <c r="H46" s="43">
        <f>EO!H46+Finance!H46+HR!H46+Security!H46+IT!H46</f>
        <v>0</v>
      </c>
      <c r="I46" s="43">
        <f>EO!I46+Finance!I46+HR!I46+Security!I46+IT!I46</f>
        <v>0</v>
      </c>
      <c r="J46" s="43">
        <f>EO!J46+Finance!J46+HR!J46+Security!J46+IT!J46</f>
        <v>0</v>
      </c>
      <c r="K46" s="43">
        <f>EO!K46+Finance!K46+HR!K46+Security!K46+IT!K46</f>
        <v>0</v>
      </c>
      <c r="L46" s="43">
        <f>EO!L46+Finance!L46+HR!L46+Security!L46+IT!L46</f>
        <v>0</v>
      </c>
      <c r="M46" s="43">
        <f>EO!M46+Finance!M46+HR!M46+Security!M46+IT!M46</f>
        <v>0</v>
      </c>
      <c r="N46" s="43">
        <f>EO!N46+Finance!N46+HR!N46+Security!N46+IT!N46</f>
        <v>0</v>
      </c>
      <c r="O46" s="43">
        <f>EO!O46+Finance!O46+HR!O46+Security!O46+IT!O46</f>
        <v>0</v>
      </c>
      <c r="P46" s="43">
        <f>EO!P46+Finance!P46+HR!P46+Security!P46+IT!P46</f>
        <v>0</v>
      </c>
      <c r="Q46" s="3">
        <f t="shared" si="2"/>
        <v>0</v>
      </c>
      <c r="R46" s="39">
        <f>Q46/Summary!$Q$16</f>
        <v>0</v>
      </c>
      <c r="S46" s="39"/>
      <c r="T46" s="35"/>
      <c r="U46" s="40">
        <f t="shared" si="3"/>
        <v>0</v>
      </c>
    </row>
    <row r="47" spans="1:21" s="3" customFormat="1" ht="25.4" hidden="1" customHeight="1">
      <c r="A47" s="3" t="s">
        <v>530</v>
      </c>
      <c r="B47" s="3" t="s">
        <v>51</v>
      </c>
      <c r="D47" s="26" t="s">
        <v>531</v>
      </c>
      <c r="E47" s="43">
        <f>EO!E47+Finance!E47+HR!E47+Security!E47+IT!E47</f>
        <v>0</v>
      </c>
      <c r="F47" s="43">
        <f>EO!F47+Finance!F47+HR!F47+Security!F47+IT!F47</f>
        <v>0</v>
      </c>
      <c r="G47" s="43">
        <f>EO!G47+Finance!G47+HR!G47+Security!G47+IT!G47</f>
        <v>0</v>
      </c>
      <c r="H47" s="43">
        <f>EO!H47+Finance!H47+HR!H47+Security!H47+IT!H47</f>
        <v>0</v>
      </c>
      <c r="I47" s="43">
        <f>EO!I47+Finance!I47+HR!I47+Security!I47+IT!I47</f>
        <v>0</v>
      </c>
      <c r="J47" s="43">
        <f>EO!J47+Finance!J47+HR!J47+Security!J47+IT!J47</f>
        <v>0</v>
      </c>
      <c r="K47" s="43">
        <f>EO!K47+Finance!K47+HR!K47+Security!K47+IT!K47</f>
        <v>0</v>
      </c>
      <c r="L47" s="43">
        <f>EO!L47+Finance!L47+HR!L47+Security!L47+IT!L47</f>
        <v>0</v>
      </c>
      <c r="M47" s="43">
        <f>EO!M47+Finance!M47+HR!M47+Security!M47+IT!M47</f>
        <v>0</v>
      </c>
      <c r="N47" s="43">
        <f>EO!N47+Finance!N47+HR!N47+Security!N47+IT!N47</f>
        <v>0</v>
      </c>
      <c r="O47" s="43">
        <f>EO!O47+Finance!O47+HR!O47+Security!O47+IT!O47</f>
        <v>0</v>
      </c>
      <c r="P47" s="43">
        <f>EO!P47+Finance!P47+HR!P47+Security!P47+IT!P47</f>
        <v>0</v>
      </c>
      <c r="Q47" s="3">
        <f t="shared" si="2"/>
        <v>0</v>
      </c>
      <c r="R47" s="39">
        <f>Q47/Summary!$Q$16</f>
        <v>0</v>
      </c>
      <c r="S47" s="39"/>
      <c r="T47" s="35"/>
      <c r="U47" s="40">
        <f t="shared" si="3"/>
        <v>0</v>
      </c>
    </row>
    <row r="48" spans="1:21" s="3" customFormat="1" ht="25.4" hidden="1" customHeight="1">
      <c r="A48" s="3" t="s">
        <v>532</v>
      </c>
      <c r="B48" s="3" t="s">
        <v>51</v>
      </c>
      <c r="D48" s="26" t="s">
        <v>533</v>
      </c>
      <c r="E48" s="43">
        <f>EO!E48+Finance!E48+HR!E48+Security!E48+IT!E48</f>
        <v>0</v>
      </c>
      <c r="F48" s="43">
        <f>EO!F48+Finance!F48+HR!F48+Security!F48+IT!F48</f>
        <v>0</v>
      </c>
      <c r="G48" s="43">
        <f>EO!G48+Finance!G48+HR!G48+Security!G48+IT!G48</f>
        <v>0</v>
      </c>
      <c r="H48" s="43">
        <f>EO!H48+Finance!H48+HR!H48+Security!H48+IT!H48</f>
        <v>0</v>
      </c>
      <c r="I48" s="43">
        <f>EO!I48+Finance!I48+HR!I48+Security!I48+IT!I48</f>
        <v>0</v>
      </c>
      <c r="J48" s="43">
        <f>EO!J48+Finance!J48+HR!J48+Security!J48+IT!J48</f>
        <v>0</v>
      </c>
      <c r="K48" s="43">
        <f>EO!K48+Finance!K48+HR!K48+Security!K48+IT!K48</f>
        <v>0</v>
      </c>
      <c r="L48" s="43">
        <f>EO!L48+Finance!L48+HR!L48+Security!L48+IT!L48</f>
        <v>0</v>
      </c>
      <c r="M48" s="43">
        <f>EO!M48+Finance!M48+HR!M48+Security!M48+IT!M48</f>
        <v>0</v>
      </c>
      <c r="N48" s="43">
        <f>EO!N48+Finance!N48+HR!N48+Security!N48+IT!N48</f>
        <v>0</v>
      </c>
      <c r="O48" s="43">
        <f>EO!O48+Finance!O48+HR!O48+Security!O48+IT!O48</f>
        <v>0</v>
      </c>
      <c r="P48" s="43">
        <f>EO!P48+Finance!P48+HR!P48+Security!P48+IT!P48</f>
        <v>0</v>
      </c>
      <c r="Q48" s="3">
        <f t="shared" si="2"/>
        <v>0</v>
      </c>
      <c r="R48" s="39">
        <f>Q48/Summary!$Q$16</f>
        <v>0</v>
      </c>
      <c r="S48" s="39"/>
      <c r="T48" s="35"/>
      <c r="U48" s="40">
        <f t="shared" si="3"/>
        <v>0</v>
      </c>
    </row>
    <row r="49" spans="1:21" s="3" customFormat="1" ht="25.4" hidden="1" customHeight="1">
      <c r="A49" s="3" t="s">
        <v>534</v>
      </c>
      <c r="B49" s="3" t="s">
        <v>51</v>
      </c>
      <c r="D49" s="26" t="s">
        <v>535</v>
      </c>
      <c r="E49" s="43">
        <f>EO!E49+Finance!E49+HR!E49+Security!E49+IT!E49</f>
        <v>0</v>
      </c>
      <c r="F49" s="43">
        <f>EO!F49+Finance!F49+HR!F49+Security!F49+IT!F49</f>
        <v>0</v>
      </c>
      <c r="G49" s="43">
        <f>EO!G49+Finance!G49+HR!G49+Security!G49+IT!G49</f>
        <v>0</v>
      </c>
      <c r="H49" s="43">
        <f>EO!H49+Finance!H49+HR!H49+Security!H49+IT!H49</f>
        <v>0</v>
      </c>
      <c r="I49" s="43">
        <f>EO!I49+Finance!I49+HR!I49+Security!I49+IT!I49</f>
        <v>0</v>
      </c>
      <c r="J49" s="43">
        <f>EO!J49+Finance!J49+HR!J49+Security!J49+IT!J49</f>
        <v>0</v>
      </c>
      <c r="K49" s="43">
        <f>EO!K49+Finance!K49+HR!K49+Security!K49+IT!K49</f>
        <v>0</v>
      </c>
      <c r="L49" s="43">
        <f>EO!L49+Finance!L49+HR!L49+Security!L49+IT!L49</f>
        <v>0</v>
      </c>
      <c r="M49" s="43">
        <f>EO!M49+Finance!M49+HR!M49+Security!M49+IT!M49</f>
        <v>0</v>
      </c>
      <c r="N49" s="43">
        <f>EO!N49+Finance!N49+HR!N49+Security!N49+IT!N49</f>
        <v>0</v>
      </c>
      <c r="O49" s="43">
        <f>EO!O49+Finance!O49+HR!O49+Security!O49+IT!O49</f>
        <v>0</v>
      </c>
      <c r="P49" s="43">
        <f>EO!P49+Finance!P49+HR!P49+Security!P49+IT!P49</f>
        <v>0</v>
      </c>
      <c r="Q49" s="3">
        <f t="shared" si="2"/>
        <v>0</v>
      </c>
      <c r="R49" s="39">
        <f>Q49/Summary!$Q$16</f>
        <v>0</v>
      </c>
      <c r="S49" s="39"/>
      <c r="T49" s="35"/>
      <c r="U49" s="40">
        <f t="shared" si="3"/>
        <v>0</v>
      </c>
    </row>
    <row r="50" spans="1:21" s="3" customFormat="1" ht="25.4" hidden="1" customHeight="1">
      <c r="A50" s="3" t="s">
        <v>536</v>
      </c>
      <c r="B50" s="3" t="s">
        <v>51</v>
      </c>
      <c r="D50" s="26" t="s">
        <v>537</v>
      </c>
      <c r="E50" s="43">
        <f>EO!E50+Finance!E50+HR!E50+Security!E50+IT!E50</f>
        <v>0</v>
      </c>
      <c r="F50" s="43">
        <f>EO!F50+Finance!F50+HR!F50+Security!F50+IT!F50</f>
        <v>0</v>
      </c>
      <c r="G50" s="43">
        <f>EO!G50+Finance!G50+HR!G50+Security!G50+IT!G50</f>
        <v>0</v>
      </c>
      <c r="H50" s="43">
        <f>EO!H50+Finance!H50+HR!H50+Security!H50+IT!H50</f>
        <v>0</v>
      </c>
      <c r="I50" s="43">
        <f>EO!I50+Finance!I50+HR!I50+Security!I50+IT!I50</f>
        <v>0</v>
      </c>
      <c r="J50" s="43">
        <f>EO!J50+Finance!J50+HR!J50+Security!J50+IT!J50</f>
        <v>0</v>
      </c>
      <c r="K50" s="43">
        <f>EO!K50+Finance!K50+HR!K50+Security!K50+IT!K50</f>
        <v>0</v>
      </c>
      <c r="L50" s="43">
        <f>EO!L50+Finance!L50+HR!L50+Security!L50+IT!L50</f>
        <v>0</v>
      </c>
      <c r="M50" s="43">
        <f>EO!M50+Finance!M50+HR!M50+Security!M50+IT!M50</f>
        <v>0</v>
      </c>
      <c r="N50" s="43">
        <f>EO!N50+Finance!N50+HR!N50+Security!N50+IT!N50</f>
        <v>0</v>
      </c>
      <c r="O50" s="43">
        <f>EO!O50+Finance!O50+HR!O50+Security!O50+IT!O50</f>
        <v>0</v>
      </c>
      <c r="P50" s="43">
        <f>EO!P50+Finance!P50+HR!P50+Security!P50+IT!P50</f>
        <v>0</v>
      </c>
      <c r="Q50" s="3">
        <f t="shared" si="2"/>
        <v>0</v>
      </c>
      <c r="R50" s="39">
        <f>Q50/Summary!$Q$16</f>
        <v>0</v>
      </c>
      <c r="S50" s="39"/>
      <c r="T50" s="35"/>
      <c r="U50" s="40">
        <f t="shared" si="3"/>
        <v>0</v>
      </c>
    </row>
    <row r="51" spans="1:21" s="3" customFormat="1" ht="25.4" hidden="1" customHeight="1">
      <c r="A51" s="3" t="s">
        <v>538</v>
      </c>
      <c r="B51" s="3" t="s">
        <v>51</v>
      </c>
      <c r="D51" s="26" t="s">
        <v>539</v>
      </c>
      <c r="E51" s="43">
        <f>EO!E51+Finance!E51+HR!E51+Security!E51+IT!E51</f>
        <v>0</v>
      </c>
      <c r="F51" s="43">
        <f>EO!F51+Finance!F51+HR!F51+Security!F51+IT!F51</f>
        <v>0</v>
      </c>
      <c r="G51" s="43">
        <f>EO!G51+Finance!G51+HR!G51+Security!G51+IT!G51</f>
        <v>0</v>
      </c>
      <c r="H51" s="43">
        <f>EO!H51+Finance!H51+HR!H51+Security!H51+IT!H51</f>
        <v>0</v>
      </c>
      <c r="I51" s="43">
        <f>EO!I51+Finance!I51+HR!I51+Security!I51+IT!I51</f>
        <v>0</v>
      </c>
      <c r="J51" s="43">
        <f>EO!J51+Finance!J51+HR!J51+Security!J51+IT!J51</f>
        <v>0</v>
      </c>
      <c r="K51" s="43">
        <f>EO!K51+Finance!K51+HR!K51+Security!K51+IT!K51</f>
        <v>0</v>
      </c>
      <c r="L51" s="43">
        <f>EO!L51+Finance!L51+HR!L51+Security!L51+IT!L51</f>
        <v>0</v>
      </c>
      <c r="M51" s="43">
        <f>EO!M51+Finance!M51+HR!M51+Security!M51+IT!M51</f>
        <v>0</v>
      </c>
      <c r="N51" s="43">
        <f>EO!N51+Finance!N51+HR!N51+Security!N51+IT!N51</f>
        <v>0</v>
      </c>
      <c r="O51" s="43">
        <f>EO!O51+Finance!O51+HR!O51+Security!O51+IT!O51</f>
        <v>0</v>
      </c>
      <c r="P51" s="43">
        <f>EO!P51+Finance!P51+HR!P51+Security!P51+IT!P51</f>
        <v>0</v>
      </c>
      <c r="Q51" s="3">
        <f t="shared" si="2"/>
        <v>0</v>
      </c>
      <c r="R51" s="39">
        <f>Q51/Summary!$Q$16</f>
        <v>0</v>
      </c>
      <c r="S51" s="39"/>
      <c r="T51" s="35"/>
      <c r="U51" s="40">
        <f t="shared" si="3"/>
        <v>0</v>
      </c>
    </row>
    <row r="52" spans="1:21" s="3" customFormat="1" ht="25.4" hidden="1" customHeight="1">
      <c r="A52" s="3" t="s">
        <v>540</v>
      </c>
      <c r="B52" s="3" t="s">
        <v>51</v>
      </c>
      <c r="D52" s="26" t="s">
        <v>541</v>
      </c>
      <c r="E52" s="43">
        <f>EO!E52+Finance!E52+HR!E52+Security!E52+IT!E52</f>
        <v>0</v>
      </c>
      <c r="F52" s="43">
        <f>EO!F52+Finance!F52+HR!F52+Security!F52+IT!F52</f>
        <v>0</v>
      </c>
      <c r="G52" s="43">
        <f>EO!G52+Finance!G52+HR!G52+Security!G52+IT!G52</f>
        <v>0</v>
      </c>
      <c r="H52" s="43">
        <f>EO!H52+Finance!H52+HR!H52+Security!H52+IT!H52</f>
        <v>0</v>
      </c>
      <c r="I52" s="43">
        <f>EO!I52+Finance!I52+HR!I52+Security!I52+IT!I52</f>
        <v>0</v>
      </c>
      <c r="J52" s="43">
        <f>EO!J52+Finance!J52+HR!J52+Security!J52+IT!J52</f>
        <v>0</v>
      </c>
      <c r="K52" s="43">
        <f>EO!K52+Finance!K52+HR!K52+Security!K52+IT!K52</f>
        <v>0</v>
      </c>
      <c r="L52" s="43">
        <f>EO!L52+Finance!L52+HR!L52+Security!L52+IT!L52</f>
        <v>0</v>
      </c>
      <c r="M52" s="43">
        <f>EO!M52+Finance!M52+HR!M52+Security!M52+IT!M52</f>
        <v>0</v>
      </c>
      <c r="N52" s="43">
        <f>EO!N52+Finance!N52+HR!N52+Security!N52+IT!N52</f>
        <v>0</v>
      </c>
      <c r="O52" s="43">
        <f>EO!O52+Finance!O52+HR!O52+Security!O52+IT!O52</f>
        <v>0</v>
      </c>
      <c r="P52" s="43">
        <f>EO!P52+Finance!P52+HR!P52+Security!P52+IT!P52</f>
        <v>0</v>
      </c>
      <c r="Q52" s="3">
        <f t="shared" si="2"/>
        <v>0</v>
      </c>
      <c r="R52" s="39">
        <f>Q52/Summary!$Q$16</f>
        <v>0</v>
      </c>
      <c r="S52" s="39"/>
      <c r="T52" s="35"/>
      <c r="U52" s="40">
        <f t="shared" si="3"/>
        <v>0</v>
      </c>
    </row>
    <row r="53" spans="1:21" s="3" customFormat="1" ht="25.4" hidden="1" customHeight="1">
      <c r="A53" s="3" t="s">
        <v>542</v>
      </c>
      <c r="B53" s="3" t="s">
        <v>51</v>
      </c>
      <c r="D53" s="29" t="s">
        <v>543</v>
      </c>
      <c r="E53" s="43">
        <f>EO!E53+Finance!E53+HR!E53+Security!E53+IT!E53</f>
        <v>0</v>
      </c>
      <c r="F53" s="43">
        <f>EO!F53+Finance!F53+HR!F53+Security!F53+IT!F53</f>
        <v>0</v>
      </c>
      <c r="G53" s="43">
        <f>EO!G53+Finance!G53+HR!G53+Security!G53+IT!G53</f>
        <v>0</v>
      </c>
      <c r="H53" s="43">
        <f>EO!H53+Finance!H53+HR!H53+Security!H53+IT!H53</f>
        <v>0</v>
      </c>
      <c r="I53" s="43">
        <f>EO!I53+Finance!I53+HR!I53+Security!I53+IT!I53</f>
        <v>0</v>
      </c>
      <c r="J53" s="43">
        <f>EO!J53+Finance!J53+HR!J53+Security!J53+IT!J53</f>
        <v>0</v>
      </c>
      <c r="K53" s="43">
        <f>EO!K53+Finance!K53+HR!K53+Security!K53+IT!K53</f>
        <v>0</v>
      </c>
      <c r="L53" s="43">
        <f>EO!L53+Finance!L53+HR!L53+Security!L53+IT!L53</f>
        <v>0</v>
      </c>
      <c r="M53" s="43">
        <f>EO!M53+Finance!M53+HR!M53+Security!M53+IT!M53</f>
        <v>0</v>
      </c>
      <c r="N53" s="43">
        <f>EO!N53+Finance!N53+HR!N53+Security!N53+IT!N53</f>
        <v>0</v>
      </c>
      <c r="O53" s="43">
        <f>EO!O53+Finance!O53+HR!O53+Security!O53+IT!O53</f>
        <v>0</v>
      </c>
      <c r="P53" s="43">
        <f>EO!P53+Finance!P53+HR!P53+Security!P53+IT!P53</f>
        <v>0</v>
      </c>
      <c r="Q53" s="3">
        <f t="shared" si="2"/>
        <v>0</v>
      </c>
      <c r="R53" s="39">
        <f>Q53/Summary!$Q$16</f>
        <v>0</v>
      </c>
      <c r="S53" s="39"/>
      <c r="T53" s="35"/>
      <c r="U53" s="40">
        <f t="shared" si="3"/>
        <v>0</v>
      </c>
    </row>
    <row r="54" spans="1:21" s="3" customFormat="1" ht="25.4" hidden="1" customHeight="1">
      <c r="A54" s="3" t="s">
        <v>544</v>
      </c>
      <c r="B54" s="3" t="s">
        <v>51</v>
      </c>
      <c r="D54" s="26" t="s">
        <v>545</v>
      </c>
      <c r="E54" s="43">
        <f>EO!E54+Finance!E54+HR!E54+Security!E54+IT!E54</f>
        <v>0</v>
      </c>
      <c r="F54" s="43">
        <f>EO!F54+Finance!F54+HR!F54+Security!F54+IT!F54</f>
        <v>0</v>
      </c>
      <c r="G54" s="43">
        <f>EO!G54+Finance!G54+HR!G54+Security!G54+IT!G54</f>
        <v>0</v>
      </c>
      <c r="H54" s="43">
        <f>EO!H54+Finance!H54+HR!H54+Security!H54+IT!H54</f>
        <v>0</v>
      </c>
      <c r="I54" s="43">
        <f>EO!I54+Finance!I54+HR!I54+Security!I54+IT!I54</f>
        <v>0</v>
      </c>
      <c r="J54" s="43">
        <f>EO!J54+Finance!J54+HR!J54+Security!J54+IT!J54</f>
        <v>0</v>
      </c>
      <c r="K54" s="43">
        <f>EO!K54+Finance!K54+HR!K54+Security!K54+IT!K54</f>
        <v>0</v>
      </c>
      <c r="L54" s="43">
        <f>EO!L54+Finance!L54+HR!L54+Security!L54+IT!L54</f>
        <v>0</v>
      </c>
      <c r="M54" s="43">
        <f>EO!M54+Finance!M54+HR!M54+Security!M54+IT!M54</f>
        <v>0</v>
      </c>
      <c r="N54" s="43">
        <f>EO!N54+Finance!N54+HR!N54+Security!N54+IT!N54</f>
        <v>0</v>
      </c>
      <c r="O54" s="43">
        <f>EO!O54+Finance!O54+HR!O54+Security!O54+IT!O54</f>
        <v>0</v>
      </c>
      <c r="P54" s="43">
        <f>EO!P54+Finance!P54+HR!P54+Security!P54+IT!P54</f>
        <v>0</v>
      </c>
      <c r="Q54" s="3">
        <f t="shared" si="2"/>
        <v>0</v>
      </c>
      <c r="R54" s="39">
        <f>Q54/Summary!$Q$16</f>
        <v>0</v>
      </c>
      <c r="S54" s="39"/>
      <c r="T54" s="35"/>
      <c r="U54" s="40">
        <f t="shared" si="3"/>
        <v>0</v>
      </c>
    </row>
    <row r="55" spans="1:21" s="3" customFormat="1" ht="25.4" customHeight="1">
      <c r="A55" s="3" t="s">
        <v>546</v>
      </c>
      <c r="B55" s="3" t="s">
        <v>51</v>
      </c>
      <c r="D55" s="29" t="s">
        <v>547</v>
      </c>
      <c r="E55" s="43">
        <f>EO!E55+Finance!E55+HR!E55+Security!E55+IT!E55</f>
        <v>300</v>
      </c>
      <c r="F55" s="43">
        <f>EO!F55+Finance!F55+HR!F55+Security!F55+IT!F55</f>
        <v>300</v>
      </c>
      <c r="G55" s="43">
        <f>EO!G55+Finance!G55+HR!G55+Security!G55+IT!G55</f>
        <v>300</v>
      </c>
      <c r="H55" s="43">
        <f>EO!H55+Finance!H55+HR!H55+Security!H55+IT!H55</f>
        <v>300</v>
      </c>
      <c r="I55" s="43">
        <f>EO!I55+Finance!I55+HR!I55+Security!I55+IT!I55</f>
        <v>300</v>
      </c>
      <c r="J55" s="43">
        <f>EO!J55+Finance!J55+HR!J55+Security!J55+IT!J55</f>
        <v>300</v>
      </c>
      <c r="K55" s="43">
        <f>EO!K55+Finance!K55+HR!K55+Security!K55+IT!K55</f>
        <v>300</v>
      </c>
      <c r="L55" s="43">
        <f>EO!L55+Finance!L55+HR!L55+Security!L55+IT!L55</f>
        <v>300</v>
      </c>
      <c r="M55" s="43">
        <f>EO!M55+Finance!M55+HR!M55+Security!M55+IT!M55</f>
        <v>300</v>
      </c>
      <c r="N55" s="43">
        <f>EO!N55+Finance!N55+HR!N55+Security!N55+IT!N55</f>
        <v>300</v>
      </c>
      <c r="O55" s="43">
        <f>EO!O55+Finance!O55+HR!O55+Security!O55+IT!O55</f>
        <v>300</v>
      </c>
      <c r="P55" s="43">
        <f>EO!P55+Finance!P55+HR!P55+Security!P55+IT!P55</f>
        <v>300</v>
      </c>
      <c r="Q55" s="3">
        <f t="shared" si="2"/>
        <v>3600</v>
      </c>
      <c r="R55" s="39">
        <f>Q55/Summary!$Q$16</f>
        <v>4.5197605740200377E-5</v>
      </c>
      <c r="S55" s="39"/>
      <c r="T55" s="35"/>
      <c r="U55" s="40" t="e">
        <f t="shared" si="3"/>
        <v>#DIV/0!</v>
      </c>
    </row>
    <row r="56" spans="1:21" s="3" customFormat="1" ht="25.4" hidden="1" customHeight="1">
      <c r="A56" s="3" t="s">
        <v>548</v>
      </c>
      <c r="B56" s="3" t="s">
        <v>51</v>
      </c>
      <c r="D56" s="26" t="s">
        <v>549</v>
      </c>
      <c r="E56" s="43">
        <f>EO!E56+Finance!E56+HR!E56+Security!E56+IT!E56</f>
        <v>0</v>
      </c>
      <c r="F56" s="43">
        <f>EO!F56+Finance!F56+HR!F56+Security!F56+IT!F56</f>
        <v>0</v>
      </c>
      <c r="G56" s="43">
        <f>EO!G56+Finance!G56+HR!G56+Security!G56+IT!G56</f>
        <v>0</v>
      </c>
      <c r="H56" s="43">
        <f>EO!H56+Finance!H56+HR!H56+Security!H56+IT!H56</f>
        <v>0</v>
      </c>
      <c r="I56" s="43">
        <f>EO!I56+Finance!I56+HR!I56+Security!I56+IT!I56</f>
        <v>0</v>
      </c>
      <c r="J56" s="43">
        <f>EO!J56+Finance!J56+HR!J56+Security!J56+IT!J56</f>
        <v>0</v>
      </c>
      <c r="K56" s="43">
        <f>EO!K56+Finance!K56+HR!K56+Security!K56+IT!K56</f>
        <v>0</v>
      </c>
      <c r="L56" s="43">
        <f>EO!L56+Finance!L56+HR!L56+Security!L56+IT!L56</f>
        <v>0</v>
      </c>
      <c r="M56" s="43">
        <f>EO!M56+Finance!M56+HR!M56+Security!M56+IT!M56</f>
        <v>0</v>
      </c>
      <c r="N56" s="43">
        <f>EO!N56+Finance!N56+HR!N56+Security!N56+IT!N56</f>
        <v>0</v>
      </c>
      <c r="O56" s="43">
        <f>EO!O56+Finance!O56+HR!O56+Security!O56+IT!O56</f>
        <v>0</v>
      </c>
      <c r="P56" s="43">
        <f>EO!P56+Finance!P56+HR!P56+Security!P56+IT!P56</f>
        <v>0</v>
      </c>
      <c r="Q56" s="3">
        <f t="shared" si="2"/>
        <v>0</v>
      </c>
      <c r="R56" s="39">
        <f>Q56/Summary!$Q$16</f>
        <v>0</v>
      </c>
      <c r="S56" s="39"/>
      <c r="T56" s="35"/>
      <c r="U56" s="40">
        <f t="shared" si="3"/>
        <v>0</v>
      </c>
    </row>
    <row r="57" spans="1:21" s="3" customFormat="1" ht="25.4" hidden="1" customHeight="1">
      <c r="A57" s="3" t="s">
        <v>550</v>
      </c>
      <c r="B57" s="3" t="s">
        <v>51</v>
      </c>
      <c r="D57" s="26" t="s">
        <v>551</v>
      </c>
      <c r="E57" s="43">
        <f>EO!E57+Finance!E57+HR!E57+Security!E57+IT!E57</f>
        <v>0</v>
      </c>
      <c r="F57" s="43">
        <f>EO!F57+Finance!F57+HR!F57+Security!F57+IT!F57</f>
        <v>0</v>
      </c>
      <c r="G57" s="43">
        <f>EO!G57+Finance!G57+HR!G57+Security!G57+IT!G57</f>
        <v>0</v>
      </c>
      <c r="H57" s="43">
        <f>EO!H57+Finance!H57+HR!H57+Security!H57+IT!H57</f>
        <v>0</v>
      </c>
      <c r="I57" s="43">
        <f>EO!I57+Finance!I57+HR!I57+Security!I57+IT!I57</f>
        <v>0</v>
      </c>
      <c r="J57" s="43">
        <f>EO!J57+Finance!J57+HR!J57+Security!J57+IT!J57</f>
        <v>0</v>
      </c>
      <c r="K57" s="43">
        <f>EO!K57+Finance!K57+HR!K57+Security!K57+IT!K57</f>
        <v>0</v>
      </c>
      <c r="L57" s="43">
        <f>EO!L57+Finance!L57+HR!L57+Security!L57+IT!L57</f>
        <v>0</v>
      </c>
      <c r="M57" s="43">
        <f>EO!M57+Finance!M57+HR!M57+Security!M57+IT!M57</f>
        <v>0</v>
      </c>
      <c r="N57" s="43">
        <f>EO!N57+Finance!N57+HR!N57+Security!N57+IT!N57</f>
        <v>0</v>
      </c>
      <c r="O57" s="43">
        <f>EO!O57+Finance!O57+HR!O57+Security!O57+IT!O57</f>
        <v>0</v>
      </c>
      <c r="P57" s="43">
        <f>EO!P57+Finance!P57+HR!P57+Security!P57+IT!P57</f>
        <v>0</v>
      </c>
      <c r="Q57" s="3">
        <f t="shared" si="2"/>
        <v>0</v>
      </c>
      <c r="R57" s="39">
        <f>Q57/Summary!$Q$16</f>
        <v>0</v>
      </c>
      <c r="S57" s="39"/>
      <c r="T57" s="35"/>
      <c r="U57" s="40">
        <f t="shared" si="3"/>
        <v>0</v>
      </c>
    </row>
    <row r="58" spans="1:21" s="3" customFormat="1" ht="25.4" hidden="1" customHeight="1">
      <c r="A58" s="3" t="s">
        <v>552</v>
      </c>
      <c r="B58" s="3" t="s">
        <v>51</v>
      </c>
      <c r="D58" s="26" t="s">
        <v>553</v>
      </c>
      <c r="E58" s="43">
        <f>EO!E58+Finance!E58+HR!E58+Security!E58+IT!E58</f>
        <v>0</v>
      </c>
      <c r="F58" s="43">
        <f>EO!F58+Finance!F58+HR!F58+Security!F58+IT!F58</f>
        <v>0</v>
      </c>
      <c r="G58" s="43">
        <f>EO!G58+Finance!G58+HR!G58+Security!G58+IT!G58</f>
        <v>0</v>
      </c>
      <c r="H58" s="43">
        <f>EO!H58+Finance!H58+HR!H58+Security!H58+IT!H58</f>
        <v>0</v>
      </c>
      <c r="I58" s="43">
        <f>EO!I58+Finance!I58+HR!I58+Security!I58+IT!I58</f>
        <v>0</v>
      </c>
      <c r="J58" s="43">
        <f>EO!J58+Finance!J58+HR!J58+Security!J58+IT!J58</f>
        <v>0</v>
      </c>
      <c r="K58" s="43">
        <f>EO!K58+Finance!K58+HR!K58+Security!K58+IT!K58</f>
        <v>0</v>
      </c>
      <c r="L58" s="43">
        <f>EO!L58+Finance!L58+HR!L58+Security!L58+IT!L58</f>
        <v>0</v>
      </c>
      <c r="M58" s="43">
        <f>EO!M58+Finance!M58+HR!M58+Security!M58+IT!M58</f>
        <v>0</v>
      </c>
      <c r="N58" s="43">
        <f>EO!N58+Finance!N58+HR!N58+Security!N58+IT!N58</f>
        <v>0</v>
      </c>
      <c r="O58" s="43">
        <f>EO!O58+Finance!O58+HR!O58+Security!O58+IT!O58</f>
        <v>0</v>
      </c>
      <c r="P58" s="43">
        <f>EO!P58+Finance!P58+HR!P58+Security!P58+IT!P58</f>
        <v>0</v>
      </c>
      <c r="Q58" s="3">
        <f t="shared" si="2"/>
        <v>0</v>
      </c>
      <c r="R58" s="39">
        <f>Q58/Summary!$Q$16</f>
        <v>0</v>
      </c>
      <c r="S58" s="39"/>
      <c r="T58" s="35"/>
      <c r="U58" s="40">
        <f t="shared" si="3"/>
        <v>0</v>
      </c>
    </row>
    <row r="59" spans="1:21" s="3" customFormat="1" ht="25.4" hidden="1" customHeight="1">
      <c r="A59" s="3" t="s">
        <v>554</v>
      </c>
      <c r="B59" s="3" t="s">
        <v>51</v>
      </c>
      <c r="D59" s="26" t="s">
        <v>555</v>
      </c>
      <c r="E59" s="43">
        <f>EO!E59+Finance!E59+HR!E59+Security!E59+IT!E59</f>
        <v>0</v>
      </c>
      <c r="F59" s="43">
        <f>EO!F59+Finance!F59+HR!F59+Security!F59+IT!F59</f>
        <v>0</v>
      </c>
      <c r="G59" s="43">
        <f>EO!G59+Finance!G59+HR!G59+Security!G59+IT!G59</f>
        <v>0</v>
      </c>
      <c r="H59" s="43">
        <f>EO!H59+Finance!H59+HR!H59+Security!H59+IT!H59</f>
        <v>0</v>
      </c>
      <c r="I59" s="43">
        <f>EO!I59+Finance!I59+HR!I59+Security!I59+IT!I59</f>
        <v>0</v>
      </c>
      <c r="J59" s="43">
        <f>EO!J59+Finance!J59+HR!J59+Security!J59+IT!J59</f>
        <v>0</v>
      </c>
      <c r="K59" s="43">
        <f>EO!K59+Finance!K59+HR!K59+Security!K59+IT!K59</f>
        <v>0</v>
      </c>
      <c r="L59" s="43">
        <f>EO!L59+Finance!L59+HR!L59+Security!L59+IT!L59</f>
        <v>0</v>
      </c>
      <c r="M59" s="43">
        <f>EO!M59+Finance!M59+HR!M59+Security!M59+IT!M59</f>
        <v>0</v>
      </c>
      <c r="N59" s="43">
        <f>EO!N59+Finance!N59+HR!N59+Security!N59+IT!N59</f>
        <v>0</v>
      </c>
      <c r="O59" s="43">
        <f>EO!O59+Finance!O59+HR!O59+Security!O59+IT!O59</f>
        <v>0</v>
      </c>
      <c r="P59" s="43">
        <f>EO!P59+Finance!P59+HR!P59+Security!P59+IT!P59</f>
        <v>0</v>
      </c>
      <c r="Q59" s="3">
        <f t="shared" si="2"/>
        <v>0</v>
      </c>
      <c r="R59" s="39">
        <f>Q59/Summary!$Q$16</f>
        <v>0</v>
      </c>
      <c r="S59" s="39"/>
      <c r="T59" s="35"/>
      <c r="U59" s="40">
        <f t="shared" si="3"/>
        <v>0</v>
      </c>
    </row>
    <row r="60" spans="1:21" s="3" customFormat="1" ht="25.4" hidden="1" customHeight="1">
      <c r="A60" s="3" t="s">
        <v>556</v>
      </c>
      <c r="B60" s="3" t="s">
        <v>51</v>
      </c>
      <c r="D60" s="26" t="s">
        <v>557</v>
      </c>
      <c r="E60" s="43">
        <f>EO!E60+Finance!E60+HR!E60+Security!E60+IT!E60</f>
        <v>0</v>
      </c>
      <c r="F60" s="43">
        <f>EO!F60+Finance!F60+HR!F60+Security!F60+IT!F60</f>
        <v>0</v>
      </c>
      <c r="G60" s="43">
        <f>EO!G60+Finance!G60+HR!G60+Security!G60+IT!G60</f>
        <v>0</v>
      </c>
      <c r="H60" s="43">
        <f>EO!H60+Finance!H60+HR!H60+Security!H60+IT!H60</f>
        <v>0</v>
      </c>
      <c r="I60" s="43">
        <f>EO!I60+Finance!I60+HR!I60+Security!I60+IT!I60</f>
        <v>0</v>
      </c>
      <c r="J60" s="43">
        <f>EO!J60+Finance!J60+HR!J60+Security!J60+IT!J60</f>
        <v>0</v>
      </c>
      <c r="K60" s="43">
        <f>EO!K60+Finance!K60+HR!K60+Security!K60+IT!K60</f>
        <v>0</v>
      </c>
      <c r="L60" s="43">
        <f>EO!L60+Finance!L60+HR!L60+Security!L60+IT!L60</f>
        <v>0</v>
      </c>
      <c r="M60" s="43">
        <f>EO!M60+Finance!M60+HR!M60+Security!M60+IT!M60</f>
        <v>0</v>
      </c>
      <c r="N60" s="43">
        <f>EO!N60+Finance!N60+HR!N60+Security!N60+IT!N60</f>
        <v>0</v>
      </c>
      <c r="O60" s="43">
        <f>EO!O60+Finance!O60+HR!O60+Security!O60+IT!O60</f>
        <v>0</v>
      </c>
      <c r="P60" s="43">
        <f>EO!P60+Finance!P60+HR!P60+Security!P60+IT!P60</f>
        <v>0</v>
      </c>
      <c r="Q60" s="3">
        <f t="shared" si="2"/>
        <v>0</v>
      </c>
      <c r="R60" s="39">
        <f>Q60/Summary!$Q$16</f>
        <v>0</v>
      </c>
      <c r="S60" s="39"/>
      <c r="T60" s="35"/>
      <c r="U60" s="40">
        <f t="shared" si="3"/>
        <v>0</v>
      </c>
    </row>
    <row r="61" spans="1:21" s="3" customFormat="1" ht="25.4" hidden="1" customHeight="1">
      <c r="A61" s="3" t="s">
        <v>558</v>
      </c>
      <c r="B61" s="3" t="s">
        <v>51</v>
      </c>
      <c r="D61" s="26" t="s">
        <v>559</v>
      </c>
      <c r="E61" s="43">
        <f>EO!E61+Finance!E61+HR!E61+Security!E61+IT!E61</f>
        <v>0</v>
      </c>
      <c r="F61" s="43">
        <f>EO!F61+Finance!F61+HR!F61+Security!F61+IT!F61</f>
        <v>0</v>
      </c>
      <c r="G61" s="43">
        <f>EO!G61+Finance!G61+HR!G61+Security!G61+IT!G61</f>
        <v>0</v>
      </c>
      <c r="H61" s="43">
        <f>EO!H61+Finance!H61+HR!H61+Security!H61+IT!H61</f>
        <v>0</v>
      </c>
      <c r="I61" s="43">
        <f>EO!I61+Finance!I61+HR!I61+Security!I61+IT!I61</f>
        <v>0</v>
      </c>
      <c r="J61" s="43">
        <f>EO!J61+Finance!J61+HR!J61+Security!J61+IT!J61</f>
        <v>0</v>
      </c>
      <c r="K61" s="43">
        <f>EO!K61+Finance!K61+HR!K61+Security!K61+IT!K61</f>
        <v>0</v>
      </c>
      <c r="L61" s="43">
        <f>EO!L61+Finance!L61+HR!L61+Security!L61+IT!L61</f>
        <v>0</v>
      </c>
      <c r="M61" s="43">
        <f>EO!M61+Finance!M61+HR!M61+Security!M61+IT!M61</f>
        <v>0</v>
      </c>
      <c r="N61" s="43">
        <f>EO!N61+Finance!N61+HR!N61+Security!N61+IT!N61</f>
        <v>0</v>
      </c>
      <c r="O61" s="43">
        <f>EO!O61+Finance!O61+HR!O61+Security!O61+IT!O61</f>
        <v>0</v>
      </c>
      <c r="P61" s="43">
        <f>EO!P61+Finance!P61+HR!P61+Security!P61+IT!P61</f>
        <v>0</v>
      </c>
      <c r="Q61" s="3">
        <f t="shared" si="2"/>
        <v>0</v>
      </c>
      <c r="R61" s="39">
        <f>Q61/Summary!$Q$16</f>
        <v>0</v>
      </c>
      <c r="S61" s="39"/>
      <c r="T61" s="35"/>
      <c r="U61" s="40">
        <f t="shared" si="3"/>
        <v>0</v>
      </c>
    </row>
    <row r="62" spans="1:21" s="3" customFormat="1" ht="25.4" hidden="1" customHeight="1">
      <c r="A62" s="3" t="s">
        <v>560</v>
      </c>
      <c r="B62" s="3" t="s">
        <v>51</v>
      </c>
      <c r="D62" s="26" t="s">
        <v>561</v>
      </c>
      <c r="E62" s="43">
        <f>EO!E62+Finance!E62+HR!E62+Security!E62+IT!E62</f>
        <v>0</v>
      </c>
      <c r="F62" s="43">
        <f>EO!F62+Finance!F62+HR!F62+Security!F62+IT!F62</f>
        <v>0</v>
      </c>
      <c r="G62" s="43">
        <f>EO!G62+Finance!G62+HR!G62+Security!G62+IT!G62</f>
        <v>0</v>
      </c>
      <c r="H62" s="43">
        <f>EO!H62+Finance!H62+HR!H62+Security!H62+IT!H62</f>
        <v>0</v>
      </c>
      <c r="I62" s="43">
        <f>EO!I62+Finance!I62+HR!I62+Security!I62+IT!I62</f>
        <v>0</v>
      </c>
      <c r="J62" s="43">
        <f>EO!J62+Finance!J62+HR!J62+Security!J62+IT!J62</f>
        <v>0</v>
      </c>
      <c r="K62" s="43">
        <f>EO!K62+Finance!K62+HR!K62+Security!K62+IT!K62</f>
        <v>0</v>
      </c>
      <c r="L62" s="43">
        <f>EO!L62+Finance!L62+HR!L62+Security!L62+IT!L62</f>
        <v>0</v>
      </c>
      <c r="M62" s="43">
        <f>EO!M62+Finance!M62+HR!M62+Security!M62+IT!M62</f>
        <v>0</v>
      </c>
      <c r="N62" s="43">
        <f>EO!N62+Finance!N62+HR!N62+Security!N62+IT!N62</f>
        <v>0</v>
      </c>
      <c r="O62" s="43">
        <f>EO!O62+Finance!O62+HR!O62+Security!O62+IT!O62</f>
        <v>0</v>
      </c>
      <c r="P62" s="43">
        <f>EO!P62+Finance!P62+HR!P62+Security!P62+IT!P62</f>
        <v>0</v>
      </c>
      <c r="Q62" s="3">
        <f t="shared" si="2"/>
        <v>0</v>
      </c>
      <c r="R62" s="39">
        <f>Q62/Summary!$Q$16</f>
        <v>0</v>
      </c>
      <c r="S62" s="39"/>
      <c r="T62" s="35"/>
      <c r="U62" s="40">
        <f t="shared" si="3"/>
        <v>0</v>
      </c>
    </row>
    <row r="63" spans="1:21" s="3" customFormat="1" ht="25.4" hidden="1" customHeight="1">
      <c r="A63" s="3" t="s">
        <v>562</v>
      </c>
      <c r="B63" s="3" t="s">
        <v>51</v>
      </c>
      <c r="D63" s="26" t="s">
        <v>563</v>
      </c>
      <c r="E63" s="43">
        <f>EO!E63+Finance!E63+HR!E63+Security!E63+IT!E63</f>
        <v>0</v>
      </c>
      <c r="F63" s="43">
        <f>EO!F63+Finance!F63+HR!F63+Security!F63+IT!F63</f>
        <v>0</v>
      </c>
      <c r="G63" s="43">
        <f>EO!G63+Finance!G63+HR!G63+Security!G63+IT!G63</f>
        <v>0</v>
      </c>
      <c r="H63" s="43">
        <f>EO!H63+Finance!H63+HR!H63+Security!H63+IT!H63</f>
        <v>0</v>
      </c>
      <c r="I63" s="43">
        <f>EO!I63+Finance!I63+HR!I63+Security!I63+IT!I63</f>
        <v>0</v>
      </c>
      <c r="J63" s="43">
        <f>EO!J63+Finance!J63+HR!J63+Security!J63+IT!J63</f>
        <v>0</v>
      </c>
      <c r="K63" s="43">
        <f>EO!K63+Finance!K63+HR!K63+Security!K63+IT!K63</f>
        <v>0</v>
      </c>
      <c r="L63" s="43">
        <f>EO!L63+Finance!L63+HR!L63+Security!L63+IT!L63</f>
        <v>0</v>
      </c>
      <c r="M63" s="43">
        <f>EO!M63+Finance!M63+HR!M63+Security!M63+IT!M63</f>
        <v>0</v>
      </c>
      <c r="N63" s="43">
        <f>EO!N63+Finance!N63+HR!N63+Security!N63+IT!N63</f>
        <v>0</v>
      </c>
      <c r="O63" s="43">
        <f>EO!O63+Finance!O63+HR!O63+Security!O63+IT!O63</f>
        <v>0</v>
      </c>
      <c r="P63" s="43">
        <f>EO!P63+Finance!P63+HR!P63+Security!P63+IT!P63</f>
        <v>0</v>
      </c>
      <c r="Q63" s="3">
        <f t="shared" si="2"/>
        <v>0</v>
      </c>
      <c r="R63" s="39">
        <f>Q63/Summary!$Q$16</f>
        <v>0</v>
      </c>
      <c r="S63" s="39"/>
      <c r="T63" s="35"/>
      <c r="U63" s="40">
        <f t="shared" si="3"/>
        <v>0</v>
      </c>
    </row>
    <row r="64" spans="1:21" s="3" customFormat="1" ht="25.4" hidden="1" customHeight="1">
      <c r="A64" s="3" t="s">
        <v>564</v>
      </c>
      <c r="B64" s="3" t="s">
        <v>51</v>
      </c>
      <c r="D64" s="26" t="s">
        <v>565</v>
      </c>
      <c r="E64" s="43">
        <f>EO!E64+Finance!E64+HR!E64+Security!E64+IT!E64</f>
        <v>0</v>
      </c>
      <c r="F64" s="43">
        <f>EO!F64+Finance!F64+HR!F64+Security!F64+IT!F64</f>
        <v>0</v>
      </c>
      <c r="G64" s="43">
        <f>EO!G64+Finance!G64+HR!G64+Security!G64+IT!G64</f>
        <v>0</v>
      </c>
      <c r="H64" s="43">
        <f>EO!H64+Finance!H64+HR!H64+Security!H64+IT!H64</f>
        <v>0</v>
      </c>
      <c r="I64" s="43">
        <f>EO!I64+Finance!I64+HR!I64+Security!I64+IT!I64</f>
        <v>0</v>
      </c>
      <c r="J64" s="43">
        <f>EO!J64+Finance!J64+HR!J64+Security!J64+IT!J64</f>
        <v>0</v>
      </c>
      <c r="K64" s="43">
        <f>EO!K64+Finance!K64+HR!K64+Security!K64+IT!K64</f>
        <v>0</v>
      </c>
      <c r="L64" s="43">
        <f>EO!L64+Finance!L64+HR!L64+Security!L64+IT!L64</f>
        <v>0</v>
      </c>
      <c r="M64" s="43">
        <f>EO!M64+Finance!M64+HR!M64+Security!M64+IT!M64</f>
        <v>0</v>
      </c>
      <c r="N64" s="43">
        <f>EO!N64+Finance!N64+HR!N64+Security!N64+IT!N64</f>
        <v>0</v>
      </c>
      <c r="O64" s="43">
        <f>EO!O64+Finance!O64+HR!O64+Security!O64+IT!O64</f>
        <v>0</v>
      </c>
      <c r="P64" s="43">
        <f>EO!P64+Finance!P64+HR!P64+Security!P64+IT!P64</f>
        <v>0</v>
      </c>
      <c r="Q64" s="3">
        <f t="shared" si="2"/>
        <v>0</v>
      </c>
      <c r="R64" s="39">
        <f>Q64/Summary!$Q$16</f>
        <v>0</v>
      </c>
      <c r="S64" s="39"/>
      <c r="T64" s="35"/>
      <c r="U64" s="40">
        <f t="shared" si="3"/>
        <v>0</v>
      </c>
    </row>
    <row r="65" spans="1:22" s="3" customFormat="1" ht="25.4" hidden="1" customHeight="1">
      <c r="A65" s="3" t="s">
        <v>566</v>
      </c>
      <c r="B65" s="3" t="s">
        <v>51</v>
      </c>
      <c r="D65" s="26" t="s">
        <v>567</v>
      </c>
      <c r="E65" s="43">
        <f>EO!E65+Finance!E65+HR!E65+Security!E65+IT!E65</f>
        <v>0</v>
      </c>
      <c r="F65" s="43">
        <f>EO!F65+Finance!F65+HR!F65+Security!F65+IT!F65</f>
        <v>0</v>
      </c>
      <c r="G65" s="43">
        <f>EO!G65+Finance!G65+HR!G65+Security!G65+IT!G65</f>
        <v>0</v>
      </c>
      <c r="H65" s="43">
        <f>EO!H65+Finance!H65+HR!H65+Security!H65+IT!H65</f>
        <v>0</v>
      </c>
      <c r="I65" s="43">
        <f>EO!I65+Finance!I65+HR!I65+Security!I65+IT!I65</f>
        <v>0</v>
      </c>
      <c r="J65" s="43">
        <f>EO!J65+Finance!J65+HR!J65+Security!J65+IT!J65</f>
        <v>0</v>
      </c>
      <c r="K65" s="43">
        <f>EO!K65+Finance!K65+HR!K65+Security!K65+IT!K65</f>
        <v>0</v>
      </c>
      <c r="L65" s="43">
        <f>EO!L65+Finance!L65+HR!L65+Security!L65+IT!L65</f>
        <v>0</v>
      </c>
      <c r="M65" s="43">
        <f>EO!M65+Finance!M65+HR!M65+Security!M65+IT!M65</f>
        <v>0</v>
      </c>
      <c r="N65" s="43">
        <f>EO!N65+Finance!N65+HR!N65+Security!N65+IT!N65</f>
        <v>0</v>
      </c>
      <c r="O65" s="43">
        <f>EO!O65+Finance!O65+HR!O65+Security!O65+IT!O65</f>
        <v>0</v>
      </c>
      <c r="P65" s="43">
        <f>EO!P65+Finance!P65+HR!P65+Security!P65+IT!P65</f>
        <v>0</v>
      </c>
      <c r="Q65" s="3">
        <f t="shared" si="2"/>
        <v>0</v>
      </c>
      <c r="R65" s="39">
        <f>Q65/Summary!$Q$16</f>
        <v>0</v>
      </c>
      <c r="S65" s="39"/>
      <c r="T65" s="35"/>
      <c r="U65" s="40">
        <f t="shared" si="3"/>
        <v>0</v>
      </c>
    </row>
    <row r="66" spans="1:22" s="3" customFormat="1" ht="25.4" customHeight="1">
      <c r="A66" s="3" t="s">
        <v>568</v>
      </c>
      <c r="B66" s="3" t="s">
        <v>51</v>
      </c>
      <c r="D66" s="26" t="s">
        <v>569</v>
      </c>
      <c r="E66" s="43">
        <f>EO!E66+Finance!E66+HR!E66+Security!E66+IT!E66</f>
        <v>2000</v>
      </c>
      <c r="F66" s="43">
        <f>EO!F66+Finance!F66+HR!F66+Security!F66+IT!F66</f>
        <v>2000</v>
      </c>
      <c r="G66" s="43">
        <f>EO!G66+Finance!G66+HR!G66+Security!G66+IT!G66</f>
        <v>2000</v>
      </c>
      <c r="H66" s="43">
        <f>EO!H66+Finance!H66+HR!H66+Security!H66+IT!H66</f>
        <v>2000</v>
      </c>
      <c r="I66" s="43">
        <f>EO!I66+Finance!I66+HR!I66+Security!I66+IT!I66</f>
        <v>2000</v>
      </c>
      <c r="J66" s="43">
        <f>EO!J66+Finance!J66+HR!J66+Security!J66+IT!J66</f>
        <v>2000</v>
      </c>
      <c r="K66" s="43">
        <f>EO!K66+Finance!K66+HR!K66+Security!K66+IT!K66</f>
        <v>2000</v>
      </c>
      <c r="L66" s="43">
        <f>EO!L66+Finance!L66+HR!L66+Security!L66+IT!L66</f>
        <v>2000</v>
      </c>
      <c r="M66" s="43">
        <f>EO!M66+Finance!M66+HR!M66+Security!M66+IT!M66</f>
        <v>2000</v>
      </c>
      <c r="N66" s="43">
        <f>EO!N66+Finance!N66+HR!N66+Security!N66+IT!N66</f>
        <v>2000</v>
      </c>
      <c r="O66" s="43">
        <f>EO!O66+Finance!O66+HR!O66+Security!O66+IT!O66</f>
        <v>2000</v>
      </c>
      <c r="P66" s="43">
        <f>EO!P66+Finance!P66+HR!P66+Security!P66+IT!P66</f>
        <v>2000</v>
      </c>
      <c r="Q66" s="3">
        <f t="shared" si="2"/>
        <v>24000</v>
      </c>
      <c r="R66" s="39">
        <f>Q66/Summary!$Q$16</f>
        <v>3.0131737160133586E-4</v>
      </c>
      <c r="S66" s="39"/>
      <c r="T66" s="35"/>
      <c r="U66" s="40" t="e">
        <f t="shared" si="3"/>
        <v>#DIV/0!</v>
      </c>
    </row>
    <row r="67" spans="1:22" s="3" customFormat="1" ht="25.4" hidden="1" customHeight="1">
      <c r="A67" s="3" t="s">
        <v>570</v>
      </c>
      <c r="B67" s="3" t="s">
        <v>51</v>
      </c>
      <c r="D67" s="26" t="s">
        <v>571</v>
      </c>
      <c r="E67" s="43">
        <f>EO!E67+Finance!E67+HR!E67+Security!E67+IT!E67</f>
        <v>0</v>
      </c>
      <c r="F67" s="43">
        <f>EO!F67+Finance!F67+HR!F67+Security!F67+IT!F67</f>
        <v>0</v>
      </c>
      <c r="G67" s="43">
        <f>EO!G67+Finance!G67+HR!G67+Security!G67+IT!G67</f>
        <v>0</v>
      </c>
      <c r="H67" s="43">
        <f>EO!H67+Finance!H67+HR!H67+Security!H67+IT!H67</f>
        <v>0</v>
      </c>
      <c r="I67" s="43">
        <f>EO!I67+Finance!I67+HR!I67+Security!I67+IT!I67</f>
        <v>0</v>
      </c>
      <c r="J67" s="43">
        <f>EO!J67+Finance!J67+HR!J67+Security!J67+IT!J67</f>
        <v>0</v>
      </c>
      <c r="K67" s="43">
        <f>EO!K67+Finance!K67+HR!K67+Security!K67+IT!K67</f>
        <v>0</v>
      </c>
      <c r="L67" s="43">
        <f>EO!L67+Finance!L67+HR!L67+Security!L67+IT!L67</f>
        <v>0</v>
      </c>
      <c r="M67" s="43">
        <f>EO!M67+Finance!M67+HR!M67+Security!M67+IT!M67</f>
        <v>0</v>
      </c>
      <c r="N67" s="43">
        <f>EO!N67+Finance!N67+HR!N67+Security!N67+IT!N67</f>
        <v>0</v>
      </c>
      <c r="O67" s="43">
        <f>EO!O67+Finance!O67+HR!O67+Security!O67+IT!O67</f>
        <v>0</v>
      </c>
      <c r="P67" s="43">
        <f>EO!P67+Finance!P67+HR!P67+Security!P67+IT!P67</f>
        <v>0</v>
      </c>
      <c r="Q67" s="3">
        <f t="shared" si="2"/>
        <v>0</v>
      </c>
      <c r="R67" s="39">
        <f>Q67/Summary!$Q$16</f>
        <v>0</v>
      </c>
      <c r="S67" s="39"/>
      <c r="T67" s="35"/>
      <c r="U67" s="40">
        <f t="shared" si="3"/>
        <v>0</v>
      </c>
    </row>
    <row r="68" spans="1:22" s="3" customFormat="1" ht="25.4" customHeight="1">
      <c r="A68" s="3" t="s">
        <v>572</v>
      </c>
      <c r="B68" s="3" t="s">
        <v>51</v>
      </c>
      <c r="D68" s="26" t="s">
        <v>573</v>
      </c>
      <c r="E68" s="43">
        <f>EO!E68+Finance!E68+HR!E68+Security!E68+IT!E68</f>
        <v>550</v>
      </c>
      <c r="F68" s="43">
        <f>EO!F68+Finance!F68+HR!F68+Security!F68+IT!F68</f>
        <v>550</v>
      </c>
      <c r="G68" s="43">
        <f>EO!G68+Finance!G68+HR!G68+Security!G68+IT!G68</f>
        <v>550</v>
      </c>
      <c r="H68" s="43">
        <f>EO!H68+Finance!H68+HR!H68+Security!H68+IT!H68</f>
        <v>550</v>
      </c>
      <c r="I68" s="43">
        <f>EO!I68+Finance!I68+HR!I68+Security!I68+IT!I68</f>
        <v>550</v>
      </c>
      <c r="J68" s="43">
        <f>EO!J68+Finance!J68+HR!J68+Security!J68+IT!J68</f>
        <v>550</v>
      </c>
      <c r="K68" s="43">
        <f>EO!K68+Finance!K68+HR!K68+Security!K68+IT!K68</f>
        <v>550</v>
      </c>
      <c r="L68" s="43">
        <f>EO!L68+Finance!L68+HR!L68+Security!L68+IT!L68</f>
        <v>550</v>
      </c>
      <c r="M68" s="43">
        <f>EO!M68+Finance!M68+HR!M68+Security!M68+IT!M68</f>
        <v>550</v>
      </c>
      <c r="N68" s="43">
        <f>EO!N68+Finance!N68+HR!N68+Security!N68+IT!N68</f>
        <v>550</v>
      </c>
      <c r="O68" s="43">
        <f>EO!O68+Finance!O68+HR!O68+Security!O68+IT!O68</f>
        <v>550</v>
      </c>
      <c r="P68" s="43">
        <f>EO!P68+Finance!P68+HR!P68+Security!P68+IT!P68</f>
        <v>550</v>
      </c>
      <c r="Q68" s="3">
        <f t="shared" si="2"/>
        <v>6600</v>
      </c>
      <c r="R68" s="39">
        <f>Q68/Summary!$Q$16</f>
        <v>8.286227719036736E-5</v>
      </c>
      <c r="S68" s="39"/>
      <c r="T68" s="35"/>
      <c r="U68" s="40" t="e">
        <f t="shared" si="3"/>
        <v>#DIV/0!</v>
      </c>
    </row>
    <row r="69" spans="1:22" s="3" customFormat="1" ht="25.4" customHeight="1">
      <c r="A69" s="3" t="s">
        <v>574</v>
      </c>
      <c r="B69" s="3" t="s">
        <v>51</v>
      </c>
      <c r="D69" s="26" t="s">
        <v>575</v>
      </c>
      <c r="E69" s="43">
        <f>EO!E69+Finance!E69+HR!E69+Security!E69+IT!E69</f>
        <v>2130</v>
      </c>
      <c r="F69" s="43">
        <f>EO!F69+Finance!F69+HR!F69+Security!F69+IT!F69</f>
        <v>2130</v>
      </c>
      <c r="G69" s="43">
        <f>EO!G69+Finance!G69+HR!G69+Security!G69+IT!G69</f>
        <v>2130</v>
      </c>
      <c r="H69" s="43">
        <f>EO!H69+Finance!H69+HR!H69+Security!H69+IT!H69</f>
        <v>2130</v>
      </c>
      <c r="I69" s="43">
        <f>EO!I69+Finance!I69+HR!I69+Security!I69+IT!I69</f>
        <v>2130</v>
      </c>
      <c r="J69" s="43">
        <f>EO!J69+Finance!J69+HR!J69+Security!J69+IT!J69</f>
        <v>2130</v>
      </c>
      <c r="K69" s="43">
        <f>EO!K69+Finance!K69+HR!K69+Security!K69+IT!K69</f>
        <v>2130</v>
      </c>
      <c r="L69" s="43">
        <f>EO!L69+Finance!L69+HR!L69+Security!L69+IT!L69</f>
        <v>2130</v>
      </c>
      <c r="M69" s="43">
        <f>EO!M69+Finance!M69+HR!M69+Security!M69+IT!M69</f>
        <v>2130</v>
      </c>
      <c r="N69" s="43">
        <f>EO!N69+Finance!N69+HR!N69+Security!N69+IT!N69</f>
        <v>2130</v>
      </c>
      <c r="O69" s="43">
        <f>EO!O69+Finance!O69+HR!O69+Security!O69+IT!O69</f>
        <v>2130</v>
      </c>
      <c r="P69" s="43">
        <f>EO!P69+Finance!P69+HR!P69+Security!P69+IT!P69</f>
        <v>2130</v>
      </c>
      <c r="Q69" s="3">
        <f t="shared" si="2"/>
        <v>25560</v>
      </c>
      <c r="R69" s="39">
        <f>Q69/Summary!$Q$16</f>
        <v>3.2090300075542268E-4</v>
      </c>
      <c r="S69" s="39"/>
      <c r="T69" s="35"/>
      <c r="U69" s="40" t="e">
        <f t="shared" si="3"/>
        <v>#DIV/0!</v>
      </c>
    </row>
    <row r="70" spans="1:22" s="3" customFormat="1" ht="25.4" customHeight="1">
      <c r="A70" s="3" t="s">
        <v>576</v>
      </c>
      <c r="B70" s="3" t="s">
        <v>51</v>
      </c>
      <c r="D70" s="26" t="s">
        <v>1234</v>
      </c>
      <c r="E70" s="43">
        <f>EO!E70+Finance!E70+HR!E70+Security!E70+IT!E70</f>
        <v>13738.07</v>
      </c>
      <c r="F70" s="43">
        <f>EO!F70+Finance!F70+HR!F70+Security!F70+IT!F70</f>
        <v>12080.429999999997</v>
      </c>
      <c r="G70" s="43">
        <f>EO!G70+Finance!G70+HR!G70+Security!G70+IT!G70</f>
        <v>11769.259999999998</v>
      </c>
      <c r="H70" s="43">
        <f>EO!H70+Finance!H70+HR!H70+Security!H70+IT!H70</f>
        <v>12067.720000000003</v>
      </c>
      <c r="I70" s="43">
        <f>EO!I70+Finance!I70+HR!I70+Security!I70+IT!I70</f>
        <v>11883.97</v>
      </c>
      <c r="J70" s="43">
        <f>EO!J70+Finance!J70+HR!J70+Security!J70+IT!J70</f>
        <v>10945.340000000002</v>
      </c>
      <c r="K70" s="43">
        <f>EO!K70+Finance!K70+HR!K70+Security!K70+IT!K70</f>
        <v>10637.519999999999</v>
      </c>
      <c r="L70" s="43">
        <f>EO!L70+Finance!L70+HR!L70+Security!L70+IT!L70</f>
        <v>10675.120000000003</v>
      </c>
      <c r="M70" s="43">
        <f>EO!M70+Finance!M70+HR!M70+Security!M70+IT!M70</f>
        <v>10894.150000000001</v>
      </c>
      <c r="N70" s="43">
        <f>EO!N70+Finance!N70+HR!N70+Security!N70+IT!N70</f>
        <v>11784.279999999999</v>
      </c>
      <c r="O70" s="43">
        <f>EO!O70+Finance!O70+HR!O70+Security!O70+IT!O70</f>
        <v>10561.369999999999</v>
      </c>
      <c r="P70" s="43">
        <f>EO!P70+Finance!P70+HR!P70+Security!P70+IT!P70</f>
        <v>10452.810000000001</v>
      </c>
      <c r="Q70" s="3">
        <f t="shared" si="2"/>
        <v>137490.03999999998</v>
      </c>
      <c r="R70" s="39">
        <f>Q70/Summary!$Q$16</f>
        <v>1.726172394756772E-3</v>
      </c>
      <c r="S70" s="39"/>
      <c r="T70" s="35"/>
      <c r="U70" s="40" t="e">
        <f t="shared" si="3"/>
        <v>#DIV/0!</v>
      </c>
      <c r="V70" s="3">
        <f>+EO!Q70</f>
        <v>14626.599999999999</v>
      </c>
    </row>
    <row r="71" spans="1:22" s="3" customFormat="1" ht="25.4" customHeight="1">
      <c r="A71" s="3" t="s">
        <v>578</v>
      </c>
      <c r="B71" s="3" t="s">
        <v>51</v>
      </c>
      <c r="D71" s="26" t="s">
        <v>579</v>
      </c>
      <c r="E71" s="43">
        <f>EO!E71+Finance!E71+HR!E71+Security!E71+IT!E71</f>
        <v>0</v>
      </c>
      <c r="F71" s="43">
        <f>EO!F71+Finance!F71+HR!F71+Security!F71+IT!F71</f>
        <v>0</v>
      </c>
      <c r="G71" s="43">
        <f>EO!G71+Finance!G71+HR!G71+Security!G71+IT!G71</f>
        <v>0</v>
      </c>
      <c r="H71" s="43">
        <f>EO!H71+Finance!H71+HR!H71+Security!H71+IT!H71</f>
        <v>0</v>
      </c>
      <c r="I71" s="43">
        <f>EO!I71+Finance!I71+HR!I71+Security!I71+IT!I71</f>
        <v>0</v>
      </c>
      <c r="J71" s="43">
        <f>EO!J71+Finance!J71+HR!J71+Security!J71+IT!J71</f>
        <v>0</v>
      </c>
      <c r="K71" s="43">
        <f>EO!K71+Finance!K71+HR!K71+Security!K71+IT!K71</f>
        <v>0</v>
      </c>
      <c r="L71" s="43">
        <f>EO!L71+Finance!L71+HR!L71+Security!L71+IT!L71</f>
        <v>0</v>
      </c>
      <c r="M71" s="43">
        <f>EO!M71+Finance!M71+HR!M71+Security!M71+IT!M71</f>
        <v>0</v>
      </c>
      <c r="N71" s="43">
        <f>EO!N71+Finance!N71+HR!N71+Security!N71+IT!N71</f>
        <v>0</v>
      </c>
      <c r="O71" s="43">
        <f>EO!O71+Finance!O71+HR!O71+Security!O71+IT!O71</f>
        <v>0</v>
      </c>
      <c r="P71" s="43">
        <f>EO!P71+Finance!P71+HR!P71+Security!P71+IT!P71</f>
        <v>0</v>
      </c>
      <c r="Q71" s="3">
        <f t="shared" si="2"/>
        <v>0</v>
      </c>
      <c r="R71" s="39">
        <f>Q71/Summary!$Q$16</f>
        <v>0</v>
      </c>
      <c r="S71" s="39"/>
      <c r="T71" s="35"/>
      <c r="U71" s="40"/>
    </row>
    <row r="72" spans="1:22" s="3" customFormat="1" ht="25.4" customHeight="1">
      <c r="A72" s="3" t="s">
        <v>580</v>
      </c>
      <c r="B72" s="3" t="s">
        <v>51</v>
      </c>
      <c r="D72" s="26" t="s">
        <v>581</v>
      </c>
      <c r="E72" s="43">
        <f>EO!E72+Finance!E72+HR!E72+Security!E72+IT!E72</f>
        <v>700</v>
      </c>
      <c r="F72" s="43">
        <f>EO!F72+Finance!F72+HR!F72+Security!F72+IT!F72</f>
        <v>700</v>
      </c>
      <c r="G72" s="43">
        <f>EO!G72+Finance!G72+HR!G72+Security!G72+IT!G72</f>
        <v>700</v>
      </c>
      <c r="H72" s="43">
        <f>EO!H72+Finance!H72+HR!H72+Security!H72+IT!H72</f>
        <v>700</v>
      </c>
      <c r="I72" s="43">
        <f>EO!I72+Finance!I72+HR!I72+Security!I72+IT!I72</f>
        <v>700</v>
      </c>
      <c r="J72" s="43">
        <f>EO!J72+Finance!J72+HR!J72+Security!J72+IT!J72</f>
        <v>700</v>
      </c>
      <c r="K72" s="43">
        <f>EO!K72+Finance!K72+HR!K72+Security!K72+IT!K72</f>
        <v>700</v>
      </c>
      <c r="L72" s="43">
        <f>EO!L72+Finance!L72+HR!L72+Security!L72+IT!L72</f>
        <v>700</v>
      </c>
      <c r="M72" s="43">
        <f>EO!M72+Finance!M72+HR!M72+Security!M72+IT!M72</f>
        <v>700</v>
      </c>
      <c r="N72" s="43">
        <f>EO!N72+Finance!N72+HR!N72+Security!N72+IT!N72</f>
        <v>700</v>
      </c>
      <c r="O72" s="43">
        <f>EO!O72+Finance!O72+HR!O72+Security!O72+IT!O72</f>
        <v>700</v>
      </c>
      <c r="P72" s="43">
        <f>EO!P72+Finance!P72+HR!P72+Security!P72+IT!P72</f>
        <v>700</v>
      </c>
      <c r="Q72" s="3">
        <f t="shared" si="2"/>
        <v>8400</v>
      </c>
      <c r="R72" s="39">
        <f>Q72/Summary!$Q$16</f>
        <v>1.0546108006046755E-4</v>
      </c>
      <c r="S72" s="39"/>
      <c r="T72" s="35"/>
      <c r="U72" s="40" t="e">
        <f t="shared" ref="U72:U85" si="4">-IF(Q72-T72=0,0,(Q72-T72)/T72)</f>
        <v>#DIV/0!</v>
      </c>
      <c r="V72" s="3">
        <f>+Finance!Q70</f>
        <v>40954.479999999996</v>
      </c>
    </row>
    <row r="73" spans="1:22" s="3" customFormat="1" ht="25.4" customHeight="1">
      <c r="A73" s="3" t="s">
        <v>582</v>
      </c>
      <c r="B73" s="3" t="s">
        <v>51</v>
      </c>
      <c r="D73" s="26" t="s">
        <v>583</v>
      </c>
      <c r="E73" s="43">
        <f>EO!E73+Finance!E73+HR!E73+Security!E73+IT!E73</f>
        <v>0</v>
      </c>
      <c r="F73" s="43">
        <f>EO!F73+Finance!F73+HR!F73+Security!F73+IT!F73</f>
        <v>0</v>
      </c>
      <c r="G73" s="43">
        <f>EO!G73+Finance!G73+HR!G73+Security!G73+IT!G73</f>
        <v>0</v>
      </c>
      <c r="H73" s="43">
        <f>EO!H73+Finance!H73+HR!H73+Security!H73+IT!H73</f>
        <v>0</v>
      </c>
      <c r="I73" s="43">
        <f>EO!I73+Finance!I73+HR!I73+Security!I73+IT!I73</f>
        <v>0</v>
      </c>
      <c r="J73" s="43">
        <f>EO!J73+Finance!J73+HR!J73+Security!J73+IT!J73</f>
        <v>0</v>
      </c>
      <c r="K73" s="43">
        <f>EO!K73+Finance!K73+HR!K73+Security!K73+IT!K73</f>
        <v>0</v>
      </c>
      <c r="L73" s="43">
        <f>EO!L73+Finance!L73+HR!L73+Security!L73+IT!L73</f>
        <v>0</v>
      </c>
      <c r="M73" s="43">
        <f>EO!M73+Finance!M73+HR!M73+Security!M73+IT!M73</f>
        <v>0</v>
      </c>
      <c r="N73" s="43">
        <f>EO!N73+Finance!N73+HR!N73+Security!N73+IT!N73</f>
        <v>0</v>
      </c>
      <c r="O73" s="43">
        <f>EO!O73+Finance!O73+HR!O73+Security!O73+IT!O73</f>
        <v>0</v>
      </c>
      <c r="P73" s="43">
        <f>EO!P73+Finance!P73+HR!P73+Security!P73+IT!P73</f>
        <v>0</v>
      </c>
      <c r="Q73" s="3">
        <f t="shared" si="2"/>
        <v>0</v>
      </c>
      <c r="R73" s="39">
        <f>Q73/Summary!$Q$16</f>
        <v>0</v>
      </c>
      <c r="S73" s="39"/>
      <c r="T73" s="35"/>
      <c r="U73" s="40">
        <f t="shared" si="4"/>
        <v>0</v>
      </c>
    </row>
    <row r="74" spans="1:22" s="3" customFormat="1" ht="25.4" customHeight="1">
      <c r="A74" s="3" t="s">
        <v>584</v>
      </c>
      <c r="B74" s="3" t="s">
        <v>51</v>
      </c>
      <c r="D74" s="26" t="s">
        <v>585</v>
      </c>
      <c r="E74" s="43">
        <f>EO!E74+Finance!E74+HR!E74+Security!E74+IT!E74</f>
        <v>300</v>
      </c>
      <c r="F74" s="43">
        <f>EO!F74+Finance!F74+HR!F74+Security!F74+IT!F74</f>
        <v>300</v>
      </c>
      <c r="G74" s="43">
        <f>EO!G74+Finance!G74+HR!G74+Security!G74+IT!G74</f>
        <v>2300</v>
      </c>
      <c r="H74" s="43">
        <f>EO!H74+Finance!H74+HR!H74+Security!H74+IT!H74</f>
        <v>300</v>
      </c>
      <c r="I74" s="43">
        <f>EO!I74+Finance!I74+HR!I74+Security!I74+IT!I74</f>
        <v>2300</v>
      </c>
      <c r="J74" s="43">
        <f>EO!J74+Finance!J74+HR!J74+Security!J74+IT!J74</f>
        <v>300</v>
      </c>
      <c r="K74" s="43">
        <f>EO!K74+Finance!K74+HR!K74+Security!K74+IT!K74</f>
        <v>2300</v>
      </c>
      <c r="L74" s="43">
        <f>EO!L74+Finance!L74+HR!L74+Security!L74+IT!L74</f>
        <v>300</v>
      </c>
      <c r="M74" s="43">
        <f>EO!M74+Finance!M74+HR!M74+Security!M74+IT!M74</f>
        <v>300</v>
      </c>
      <c r="N74" s="43">
        <f>EO!N74+Finance!N74+HR!N74+Security!N74+IT!N74</f>
        <v>2300</v>
      </c>
      <c r="O74" s="43">
        <f>EO!O74+Finance!O74+HR!O74+Security!O74+IT!O74</f>
        <v>300</v>
      </c>
      <c r="P74" s="43">
        <f>EO!P74+Finance!P74+HR!P74+Security!P74+IT!P74</f>
        <v>2300</v>
      </c>
      <c r="Q74" s="3">
        <f t="shared" si="2"/>
        <v>13600</v>
      </c>
      <c r="R74" s="39">
        <f>Q74/Summary!$Q$16</f>
        <v>1.7074651057409033E-4</v>
      </c>
      <c r="S74" s="39"/>
      <c r="T74" s="35"/>
      <c r="U74" s="40" t="e">
        <f t="shared" si="4"/>
        <v>#DIV/0!</v>
      </c>
      <c r="V74" s="3">
        <f>+HR!Q70</f>
        <v>23402.560000000001</v>
      </c>
    </row>
    <row r="75" spans="1:22" s="3" customFormat="1" ht="25.4" customHeight="1">
      <c r="A75" s="3" t="s">
        <v>586</v>
      </c>
      <c r="B75" s="3" t="s">
        <v>51</v>
      </c>
      <c r="D75" s="26" t="s">
        <v>587</v>
      </c>
      <c r="E75" s="43">
        <f>EO!E75+Finance!E75+HR!E75+Security!E75+IT!E75</f>
        <v>1000</v>
      </c>
      <c r="F75" s="43">
        <f>EO!F75+Finance!F75+HR!F75+Security!F75+IT!F75</f>
        <v>1000</v>
      </c>
      <c r="G75" s="43">
        <f>EO!G75+Finance!G75+HR!G75+Security!G75+IT!G75</f>
        <v>1000</v>
      </c>
      <c r="H75" s="43">
        <f>EO!H75+Finance!H75+HR!H75+Security!H75+IT!H75</f>
        <v>4000</v>
      </c>
      <c r="I75" s="43">
        <f>EO!I75+Finance!I75+HR!I75+Security!I75+IT!I75</f>
        <v>4000</v>
      </c>
      <c r="J75" s="43">
        <f>EO!J75+Finance!J75+HR!J75+Security!J75+IT!J75</f>
        <v>9000</v>
      </c>
      <c r="K75" s="43">
        <f>EO!K75+Finance!K75+HR!K75+Security!K75+IT!K75</f>
        <v>16000</v>
      </c>
      <c r="L75" s="43">
        <f>EO!L75+Finance!L75+HR!L75+Security!L75+IT!L75</f>
        <v>1000</v>
      </c>
      <c r="M75" s="43">
        <f>EO!M75+Finance!M75+HR!M75+Security!M75+IT!M75</f>
        <v>11000</v>
      </c>
      <c r="N75" s="43">
        <f>EO!N75+Finance!N75+HR!N75+Security!N75+IT!N75</f>
        <v>4000</v>
      </c>
      <c r="O75" s="43">
        <f>EO!O75+Finance!O75+HR!O75+Security!O75+IT!O75</f>
        <v>4000</v>
      </c>
      <c r="P75" s="43">
        <f>EO!P75+Finance!P75+HR!P75+Security!P75+IT!P75</f>
        <v>4000</v>
      </c>
      <c r="Q75" s="3">
        <f t="shared" si="2"/>
        <v>60000</v>
      </c>
      <c r="R75" s="39">
        <f>Q75/Summary!$Q$16</f>
        <v>7.5329342900333962E-4</v>
      </c>
      <c r="S75" s="39"/>
      <c r="T75" s="35"/>
      <c r="U75" s="40" t="e">
        <f t="shared" si="4"/>
        <v>#DIV/0!</v>
      </c>
      <c r="V75" s="3">
        <f>+Security!Q70</f>
        <v>55581.079999999994</v>
      </c>
    </row>
    <row r="76" spans="1:22" s="3" customFormat="1" ht="25.4" customHeight="1">
      <c r="A76" s="3" t="s">
        <v>588</v>
      </c>
      <c r="B76" s="3" t="s">
        <v>51</v>
      </c>
      <c r="D76" s="26" t="s">
        <v>589</v>
      </c>
      <c r="E76" s="43">
        <f>EO!E76+Finance!E76+HR!E76+Security!E76+IT!E76</f>
        <v>0</v>
      </c>
      <c r="F76" s="43">
        <f>EO!F76+Finance!F76+HR!F76+Security!F76+IT!F76</f>
        <v>0</v>
      </c>
      <c r="G76" s="43">
        <f>EO!G76+Finance!G76+HR!G76+Security!G76+IT!G76</f>
        <v>0</v>
      </c>
      <c r="H76" s="43">
        <f>EO!H76+Finance!H76+HR!H76+Security!H76+IT!H76</f>
        <v>0</v>
      </c>
      <c r="I76" s="43">
        <f>EO!I76+Finance!I76+HR!I76+Security!I76+IT!I76</f>
        <v>0</v>
      </c>
      <c r="J76" s="43">
        <f>EO!J76+Finance!J76+HR!J76+Security!J76+IT!J76</f>
        <v>0</v>
      </c>
      <c r="K76" s="43">
        <f>EO!K76+Finance!K76+HR!K76+Security!K76+IT!K76</f>
        <v>0</v>
      </c>
      <c r="L76" s="43">
        <f>EO!L76+Finance!L76+HR!L76+Security!L76+IT!L76</f>
        <v>0</v>
      </c>
      <c r="M76" s="43">
        <f>EO!M76+Finance!M76+HR!M76+Security!M76+IT!M76</f>
        <v>0</v>
      </c>
      <c r="N76" s="43">
        <f>EO!N76+Finance!N76+HR!N76+Security!N76+IT!N76</f>
        <v>0</v>
      </c>
      <c r="O76" s="43">
        <f>EO!O76+Finance!O76+HR!O76+Security!O76+IT!O76</f>
        <v>0</v>
      </c>
      <c r="P76" s="43">
        <f>EO!P76+Finance!P76+HR!P76+Security!P76+IT!P76</f>
        <v>0</v>
      </c>
      <c r="Q76" s="3">
        <f t="shared" si="2"/>
        <v>0</v>
      </c>
      <c r="R76" s="39">
        <f>Q76/Summary!$Q$16</f>
        <v>0</v>
      </c>
      <c r="S76" s="39"/>
      <c r="T76" s="35"/>
      <c r="U76" s="40">
        <f t="shared" si="4"/>
        <v>0</v>
      </c>
    </row>
    <row r="77" spans="1:22" s="3" customFormat="1" ht="25.4" customHeight="1">
      <c r="A77" s="3" t="s">
        <v>590</v>
      </c>
      <c r="B77" s="3" t="s">
        <v>51</v>
      </c>
      <c r="D77" s="26" t="s">
        <v>591</v>
      </c>
      <c r="E77" s="43">
        <f>EO!E77+Finance!E77+HR!E77+Security!E77+IT!E77</f>
        <v>3585</v>
      </c>
      <c r="F77" s="43">
        <f>EO!F77+Finance!F77+HR!F77+Security!F77+IT!F77</f>
        <v>3585</v>
      </c>
      <c r="G77" s="43">
        <f>EO!G77+Finance!G77+HR!G77+Security!G77+IT!G77</f>
        <v>3585</v>
      </c>
      <c r="H77" s="43">
        <f>EO!H77+Finance!H77+HR!H77+Security!H77+IT!H77</f>
        <v>3585</v>
      </c>
      <c r="I77" s="43">
        <f>EO!I77+Finance!I77+HR!I77+Security!I77+IT!I77</f>
        <v>3585</v>
      </c>
      <c r="J77" s="43">
        <f>EO!J77+Finance!J77+HR!J77+Security!J77+IT!J77</f>
        <v>3585</v>
      </c>
      <c r="K77" s="43">
        <f>EO!K77+Finance!K77+HR!K77+Security!K77+IT!K77</f>
        <v>3585</v>
      </c>
      <c r="L77" s="43">
        <f>EO!L77+Finance!L77+HR!L77+Security!L77+IT!L77</f>
        <v>3585</v>
      </c>
      <c r="M77" s="43">
        <f>EO!M77+Finance!M77+HR!M77+Security!M77+IT!M77</f>
        <v>3585</v>
      </c>
      <c r="N77" s="43">
        <f>EO!N77+Finance!N77+HR!N77+Security!N77+IT!N77</f>
        <v>3585</v>
      </c>
      <c r="O77" s="43">
        <f>EO!O77+Finance!O77+HR!O77+Security!O77+IT!O77</f>
        <v>3585</v>
      </c>
      <c r="P77" s="43">
        <f>EO!P77+Finance!P77+HR!P77+Security!P77+IT!P77</f>
        <v>3585</v>
      </c>
      <c r="Q77" s="3">
        <f t="shared" si="2"/>
        <v>43020</v>
      </c>
      <c r="R77" s="39">
        <f>Q77/Summary!$Q$16</f>
        <v>5.4011138859539449E-4</v>
      </c>
      <c r="S77" s="39"/>
      <c r="T77" s="35"/>
      <c r="U77" s="40" t="e">
        <f t="shared" si="4"/>
        <v>#DIV/0!</v>
      </c>
    </row>
    <row r="78" spans="1:22" s="3" customFormat="1" ht="25.4" customHeight="1">
      <c r="A78" s="253" t="s">
        <v>846</v>
      </c>
      <c r="B78" s="3" t="s">
        <v>51</v>
      </c>
      <c r="D78" s="26" t="s">
        <v>847</v>
      </c>
      <c r="E78" s="43">
        <f>EO!E78+Finance!E78+HR!E78+Security!E78+IT!E78</f>
        <v>0</v>
      </c>
      <c r="F78" s="43">
        <f>EO!F78+Finance!F78+HR!F78+Security!F78+IT!F78</f>
        <v>0</v>
      </c>
      <c r="G78" s="43">
        <f>EO!G78+Finance!G78+HR!G78+Security!G78+IT!G78</f>
        <v>0</v>
      </c>
      <c r="H78" s="43">
        <f>EO!H78+Finance!H78+HR!H78+Security!H78+IT!H78</f>
        <v>0</v>
      </c>
      <c r="I78" s="43">
        <f>EO!I78+Finance!I78+HR!I78+Security!I78+IT!I78</f>
        <v>0</v>
      </c>
      <c r="J78" s="43">
        <f>EO!J78+Finance!J78+HR!J78+Security!J78+IT!J78</f>
        <v>0</v>
      </c>
      <c r="K78" s="43">
        <f>EO!K78+Finance!K78+HR!K78+Security!K78+IT!K78</f>
        <v>0</v>
      </c>
      <c r="L78" s="43">
        <f>EO!L78+Finance!L78+HR!L78+Security!L78+IT!L78</f>
        <v>0</v>
      </c>
      <c r="M78" s="43">
        <f>EO!M78+Finance!M78+HR!M78+Security!M78+IT!M78</f>
        <v>0</v>
      </c>
      <c r="N78" s="43">
        <f>EO!N78+Finance!N78+HR!N78+Security!N78+IT!N78</f>
        <v>0</v>
      </c>
      <c r="O78" s="43">
        <f>EO!O78+Finance!O78+HR!O78+Security!O78+IT!O78</f>
        <v>0</v>
      </c>
      <c r="P78" s="43">
        <f>EO!P78+Finance!P78+HR!P78+Security!P78+IT!P78</f>
        <v>0</v>
      </c>
      <c r="Q78" s="3">
        <f t="shared" si="2"/>
        <v>0</v>
      </c>
      <c r="R78" s="39">
        <f>Q78/Summary!$Q$16</f>
        <v>0</v>
      </c>
      <c r="S78" s="39"/>
      <c r="T78" s="35"/>
      <c r="U78" s="40">
        <f t="shared" si="4"/>
        <v>0</v>
      </c>
      <c r="V78" s="3">
        <f>+IT!Q70</f>
        <v>2925.32</v>
      </c>
    </row>
    <row r="79" spans="1:22" s="3" customFormat="1" ht="25.4" customHeight="1">
      <c r="A79" s="3" t="s">
        <v>592</v>
      </c>
      <c r="B79" s="3" t="s">
        <v>51</v>
      </c>
      <c r="D79" s="26" t="s">
        <v>593</v>
      </c>
      <c r="E79" s="43">
        <f>EO!E79+Finance!E79+HR!E79+Security!E79+IT!E79</f>
        <v>0</v>
      </c>
      <c r="F79" s="43">
        <f>EO!F79+Finance!F79+HR!F79+Security!F79+IT!F79</f>
        <v>0</v>
      </c>
      <c r="G79" s="43">
        <f>EO!G79+Finance!G79+HR!G79+Security!G79+IT!G79</f>
        <v>0</v>
      </c>
      <c r="H79" s="43">
        <f>EO!H79+Finance!H79+HR!H79+Security!H79+IT!H79</f>
        <v>0</v>
      </c>
      <c r="I79" s="43">
        <f>EO!I79+Finance!I79+HR!I79+Security!I79+IT!I79</f>
        <v>0</v>
      </c>
      <c r="J79" s="43">
        <f>EO!J79+Finance!J79+HR!J79+Security!J79+IT!J79</f>
        <v>0</v>
      </c>
      <c r="K79" s="43">
        <f>EO!K79+Finance!K79+HR!K79+Security!K79+IT!K79</f>
        <v>25000</v>
      </c>
      <c r="L79" s="43">
        <f>EO!L79+Finance!L79+HR!L79+Security!L79+IT!L79</f>
        <v>0</v>
      </c>
      <c r="M79" s="43">
        <f>EO!M79+Finance!M79+HR!M79+Security!M79+IT!M79</f>
        <v>0</v>
      </c>
      <c r="N79" s="43">
        <f>EO!N79+Finance!N79+HR!N79+Security!N79+IT!N79</f>
        <v>0</v>
      </c>
      <c r="O79" s="43">
        <f>EO!O79+Finance!O79+HR!O79+Security!O79+IT!O79</f>
        <v>0</v>
      </c>
      <c r="P79" s="43">
        <f>EO!P79+Finance!P79+HR!P79+Security!P79+IT!P79</f>
        <v>2500</v>
      </c>
      <c r="Q79" s="3">
        <f t="shared" si="2"/>
        <v>27500</v>
      </c>
      <c r="R79" s="39">
        <f>Q79/Summary!$Q$16</f>
        <v>3.4525948829319732E-4</v>
      </c>
      <c r="S79" s="39"/>
      <c r="T79" s="35"/>
      <c r="U79" s="40" t="e">
        <f t="shared" si="4"/>
        <v>#DIV/0!</v>
      </c>
    </row>
    <row r="80" spans="1:22" s="3" customFormat="1" ht="25.4" customHeight="1">
      <c r="A80" s="3" t="s">
        <v>848</v>
      </c>
      <c r="B80" s="3" t="s">
        <v>51</v>
      </c>
      <c r="D80" s="26" t="s">
        <v>849</v>
      </c>
      <c r="E80" s="43">
        <f>EO!E80+Finance!E80+HR!E80+Security!E80+IT!E80</f>
        <v>0</v>
      </c>
      <c r="F80" s="43">
        <f>EO!F80+Finance!F80+HR!F80+Security!F80+IT!F80</f>
        <v>0</v>
      </c>
      <c r="G80" s="43">
        <f>EO!G80+Finance!G80+HR!G80+Security!G80+IT!G80</f>
        <v>0</v>
      </c>
      <c r="H80" s="43">
        <f>EO!H80+Finance!H80+HR!H80+Security!H80+IT!H80</f>
        <v>0</v>
      </c>
      <c r="I80" s="43">
        <f>EO!I80+Finance!I80+HR!I80+Security!I80+IT!I80</f>
        <v>0</v>
      </c>
      <c r="J80" s="43">
        <f>EO!J80+Finance!J80+HR!J80+Security!J80+IT!J80</f>
        <v>0</v>
      </c>
      <c r="K80" s="43">
        <f>EO!K80+Finance!K80+HR!K80+Security!K80+IT!K80</f>
        <v>0</v>
      </c>
      <c r="L80" s="43">
        <f>EO!L80+Finance!L80+HR!L80+Security!L80+IT!L80</f>
        <v>0</v>
      </c>
      <c r="M80" s="43">
        <f>EO!M80+Finance!M80+HR!M80+Security!M80+IT!M80</f>
        <v>0</v>
      </c>
      <c r="N80" s="43">
        <f>EO!N80+Finance!N80+HR!N80+Security!N80+IT!N80</f>
        <v>0</v>
      </c>
      <c r="O80" s="43">
        <f>EO!O80+Finance!O80+HR!O80+Security!O80+IT!O80</f>
        <v>0</v>
      </c>
      <c r="P80" s="43">
        <f>EO!P80+Finance!P80+HR!P80+Security!P80+IT!P80</f>
        <v>0</v>
      </c>
      <c r="Q80" s="3">
        <f t="shared" ref="Q80:Q143" si="5">SUM(E80:P80)</f>
        <v>0</v>
      </c>
      <c r="R80" s="39">
        <f>Q80/Summary!$Q$16</f>
        <v>0</v>
      </c>
      <c r="S80" s="39"/>
      <c r="T80" s="35"/>
      <c r="U80" s="40">
        <f t="shared" si="4"/>
        <v>0</v>
      </c>
    </row>
    <row r="81" spans="1:21" s="3" customFormat="1" ht="25.4" customHeight="1">
      <c r="A81" s="3" t="s">
        <v>850</v>
      </c>
      <c r="B81" s="3" t="s">
        <v>51</v>
      </c>
      <c r="D81" s="26" t="s">
        <v>851</v>
      </c>
      <c r="E81" s="43">
        <f>EO!E81+Finance!E81+HR!E81+Security!E81+IT!E81</f>
        <v>2500</v>
      </c>
      <c r="F81" s="43">
        <f>EO!F81+Finance!F81+HR!F81+Security!F81+IT!F81</f>
        <v>2500</v>
      </c>
      <c r="G81" s="43">
        <f>EO!G81+Finance!G81+HR!G81+Security!G81+IT!G81</f>
        <v>2500</v>
      </c>
      <c r="H81" s="43">
        <f>EO!H81+Finance!H81+HR!H81+Security!H81+IT!H81</f>
        <v>2500</v>
      </c>
      <c r="I81" s="43">
        <f>EO!I81+Finance!I81+HR!I81+Security!I81+IT!I81</f>
        <v>2500</v>
      </c>
      <c r="J81" s="43">
        <f>EO!J81+Finance!J81+HR!J81+Security!J81+IT!J81</f>
        <v>2500</v>
      </c>
      <c r="K81" s="43">
        <f>EO!K81+Finance!K81+HR!K81+Security!K81+IT!K81</f>
        <v>2500</v>
      </c>
      <c r="L81" s="43">
        <f>EO!L81+Finance!L81+HR!L81+Security!L81+IT!L81</f>
        <v>2500</v>
      </c>
      <c r="M81" s="43">
        <f>EO!M81+Finance!M81+HR!M81+Security!M81+IT!M81</f>
        <v>2500</v>
      </c>
      <c r="N81" s="43">
        <f>EO!N81+Finance!N81+HR!N81+Security!N81+IT!N81</f>
        <v>2500</v>
      </c>
      <c r="O81" s="43">
        <f>EO!O81+Finance!O81+HR!O81+Security!O81+IT!O81</f>
        <v>2500</v>
      </c>
      <c r="P81" s="43">
        <f>EO!P81+Finance!P81+HR!P81+Security!P81+IT!P81</f>
        <v>2500</v>
      </c>
      <c r="Q81" s="3">
        <f t="shared" si="5"/>
        <v>30000</v>
      </c>
      <c r="R81" s="39">
        <f>Q81/Summary!$Q$16</f>
        <v>3.7664671450166981E-4</v>
      </c>
      <c r="S81" s="39"/>
      <c r="T81" s="35"/>
      <c r="U81" s="40" t="e">
        <f t="shared" si="4"/>
        <v>#DIV/0!</v>
      </c>
    </row>
    <row r="82" spans="1:21" s="3" customFormat="1" ht="25.4" hidden="1" customHeight="1">
      <c r="A82" s="3" t="s">
        <v>852</v>
      </c>
      <c r="B82" s="3" t="s">
        <v>51</v>
      </c>
      <c r="D82" s="26" t="s">
        <v>853</v>
      </c>
      <c r="E82" s="43">
        <f>EO!E82+Finance!E82+HR!E82+Security!E82+IT!E82</f>
        <v>0</v>
      </c>
      <c r="F82" s="43">
        <f>EO!F82+Finance!F82+HR!F82+Security!F82+IT!F82</f>
        <v>0</v>
      </c>
      <c r="G82" s="43">
        <f>EO!G82+Finance!G82+HR!G82+Security!G82+IT!G82</f>
        <v>0</v>
      </c>
      <c r="H82" s="43">
        <f>EO!H82+Finance!H82+HR!H82+Security!H82+IT!H82</f>
        <v>0</v>
      </c>
      <c r="I82" s="43">
        <f>EO!I82+Finance!I82+HR!I82+Security!I82+IT!I82</f>
        <v>0</v>
      </c>
      <c r="J82" s="43">
        <f>EO!J82+Finance!J82+HR!J82+Security!J82+IT!J82</f>
        <v>0</v>
      </c>
      <c r="K82" s="43">
        <f>EO!K82+Finance!K82+HR!K82+Security!K82+IT!K82</f>
        <v>0</v>
      </c>
      <c r="L82" s="43">
        <f>EO!L82+Finance!L82+HR!L82+Security!L82+IT!L82</f>
        <v>0</v>
      </c>
      <c r="M82" s="43">
        <f>EO!M82+Finance!M82+HR!M82+Security!M82+IT!M82</f>
        <v>0</v>
      </c>
      <c r="N82" s="43">
        <f>EO!N82+Finance!N82+HR!N82+Security!N82+IT!N82</f>
        <v>0</v>
      </c>
      <c r="O82" s="43">
        <f>EO!O82+Finance!O82+HR!O82+Security!O82+IT!O82</f>
        <v>0</v>
      </c>
      <c r="P82" s="43">
        <f>EO!P82+Finance!P82+HR!P82+Security!P82+IT!P82</f>
        <v>0</v>
      </c>
      <c r="Q82" s="3">
        <f t="shared" si="5"/>
        <v>0</v>
      </c>
      <c r="R82" s="39">
        <f>Q82/Summary!$Q$16</f>
        <v>0</v>
      </c>
      <c r="S82" s="39"/>
      <c r="T82" s="35"/>
      <c r="U82" s="40">
        <f t="shared" si="4"/>
        <v>0</v>
      </c>
    </row>
    <row r="83" spans="1:21" s="3" customFormat="1" ht="25.4" customHeight="1">
      <c r="A83" s="3" t="s">
        <v>854</v>
      </c>
      <c r="B83" s="3" t="s">
        <v>51</v>
      </c>
      <c r="D83" s="26" t="s">
        <v>855</v>
      </c>
      <c r="E83" s="43">
        <f>EO!E83+Finance!E83+HR!E83+Security!E83+IT!E83</f>
        <v>0</v>
      </c>
      <c r="F83" s="43">
        <f>EO!F83+Finance!F83+HR!F83+Security!F83+IT!F83</f>
        <v>0</v>
      </c>
      <c r="G83" s="43">
        <f>EO!G83+Finance!G83+HR!G83+Security!G83+IT!G83</f>
        <v>0</v>
      </c>
      <c r="H83" s="43">
        <f>EO!H83+Finance!H83+HR!H83+Security!H83+IT!H83</f>
        <v>0</v>
      </c>
      <c r="I83" s="43">
        <f>EO!I83+Finance!I83+HR!I83+Security!I83+IT!I83</f>
        <v>0</v>
      </c>
      <c r="J83" s="43">
        <f>EO!J83+Finance!J83+HR!J83+Security!J83+IT!J83</f>
        <v>0</v>
      </c>
      <c r="K83" s="43">
        <f>EO!K83+Finance!K83+HR!K83+Security!K83+IT!K83</f>
        <v>0</v>
      </c>
      <c r="L83" s="43">
        <f>EO!L83+Finance!L83+HR!L83+Security!L83+IT!L83</f>
        <v>0</v>
      </c>
      <c r="M83" s="43">
        <f>EO!M83+Finance!M83+HR!M83+Security!M83+IT!M83</f>
        <v>0</v>
      </c>
      <c r="N83" s="43">
        <f>EO!N83+Finance!N83+HR!N83+Security!N83+IT!N83</f>
        <v>20000</v>
      </c>
      <c r="O83" s="43">
        <f>EO!O83+Finance!O83+HR!O83+Security!O83+IT!O83</f>
        <v>0</v>
      </c>
      <c r="P83" s="43">
        <f>EO!P83+Finance!P83+HR!P83+Security!P83+IT!P83</f>
        <v>0</v>
      </c>
      <c r="Q83" s="3">
        <f t="shared" si="5"/>
        <v>20000</v>
      </c>
      <c r="R83" s="39">
        <f>Q83/Summary!$Q$16</f>
        <v>2.5109780966777991E-4</v>
      </c>
      <c r="S83" s="39"/>
      <c r="T83" s="35"/>
      <c r="U83" s="40" t="e">
        <f t="shared" si="4"/>
        <v>#DIV/0!</v>
      </c>
    </row>
    <row r="84" spans="1:21" s="3" customFormat="1" ht="25.4" hidden="1" customHeight="1">
      <c r="A84" s="3" t="s">
        <v>856</v>
      </c>
      <c r="B84" s="3" t="s">
        <v>51</v>
      </c>
      <c r="D84" s="26" t="s">
        <v>857</v>
      </c>
      <c r="E84" s="43">
        <f>EO!E84+Finance!E84+HR!E84+Security!E84+IT!E84</f>
        <v>0</v>
      </c>
      <c r="F84" s="43">
        <f>EO!F84+Finance!F84+HR!F84+Security!F84+IT!F84</f>
        <v>0</v>
      </c>
      <c r="G84" s="43">
        <f>EO!G84+Finance!G84+HR!G84+Security!G84+IT!G84</f>
        <v>0</v>
      </c>
      <c r="H84" s="43">
        <f>EO!H84+Finance!H84+HR!H84+Security!H84+IT!H84</f>
        <v>0</v>
      </c>
      <c r="I84" s="43">
        <f>EO!I84+Finance!I84+HR!I84+Security!I84+IT!I84</f>
        <v>0</v>
      </c>
      <c r="J84" s="43">
        <f>EO!J84+Finance!J84+HR!J84+Security!J84+IT!J84</f>
        <v>0</v>
      </c>
      <c r="K84" s="43">
        <f>EO!K84+Finance!K84+HR!K84+Security!K84+IT!K84</f>
        <v>0</v>
      </c>
      <c r="L84" s="43">
        <f>EO!L84+Finance!L84+HR!L84+Security!L84+IT!L84</f>
        <v>0</v>
      </c>
      <c r="M84" s="43">
        <f>EO!M84+Finance!M84+HR!M84+Security!M84+IT!M84</f>
        <v>0</v>
      </c>
      <c r="N84" s="43">
        <f>EO!N84+Finance!N84+HR!N84+Security!N84+IT!N84</f>
        <v>0</v>
      </c>
      <c r="O84" s="43">
        <f>EO!O84+Finance!O84+HR!O84+Security!O84+IT!O84</f>
        <v>0</v>
      </c>
      <c r="P84" s="43">
        <f>EO!P84+Finance!P84+HR!P84+Security!P84+IT!P84</f>
        <v>0</v>
      </c>
      <c r="Q84" s="3">
        <f t="shared" si="5"/>
        <v>0</v>
      </c>
      <c r="R84" s="39">
        <f>Q84/Summary!$Q$16</f>
        <v>0</v>
      </c>
      <c r="S84" s="39"/>
      <c r="T84" s="35"/>
      <c r="U84" s="40">
        <f t="shared" si="4"/>
        <v>0</v>
      </c>
    </row>
    <row r="85" spans="1:21" s="3" customFormat="1" ht="25.4" hidden="1" customHeight="1">
      <c r="A85" s="3" t="s">
        <v>858</v>
      </c>
      <c r="B85" s="3" t="s">
        <v>51</v>
      </c>
      <c r="D85" s="26" t="s">
        <v>859</v>
      </c>
      <c r="E85" s="43">
        <f>EO!E85+Finance!E85+HR!E85+Security!E85+IT!E85</f>
        <v>0</v>
      </c>
      <c r="F85" s="43">
        <f>EO!F85+Finance!F85+HR!F85+Security!F85+IT!F85</f>
        <v>0</v>
      </c>
      <c r="G85" s="43">
        <f>EO!G85+Finance!G85+HR!G85+Security!G85+IT!G85</f>
        <v>0</v>
      </c>
      <c r="H85" s="43">
        <f>EO!H85+Finance!H85+HR!H85+Security!H85+IT!H85</f>
        <v>0</v>
      </c>
      <c r="I85" s="43">
        <f>EO!I85+Finance!I85+HR!I85+Security!I85+IT!I85</f>
        <v>0</v>
      </c>
      <c r="J85" s="43">
        <f>EO!J85+Finance!J85+HR!J85+Security!J85+IT!J85</f>
        <v>0</v>
      </c>
      <c r="K85" s="43">
        <f>EO!K85+Finance!K85+HR!K85+Security!K85+IT!K85</f>
        <v>0</v>
      </c>
      <c r="L85" s="43">
        <f>EO!L85+Finance!L85+HR!L85+Security!L85+IT!L85</f>
        <v>0</v>
      </c>
      <c r="M85" s="43">
        <f>EO!M85+Finance!M85+HR!M85+Security!M85+IT!M85</f>
        <v>0</v>
      </c>
      <c r="N85" s="43">
        <f>EO!N85+Finance!N85+HR!N85+Security!N85+IT!N85</f>
        <v>0</v>
      </c>
      <c r="O85" s="43">
        <f>EO!O85+Finance!O85+HR!O85+Security!O85+IT!O85</f>
        <v>0</v>
      </c>
      <c r="P85" s="43">
        <f>EO!P85+Finance!P85+HR!P85+Security!P85+IT!P85</f>
        <v>0</v>
      </c>
      <c r="Q85" s="3">
        <f t="shared" si="5"/>
        <v>0</v>
      </c>
      <c r="R85" s="39">
        <f>Q85/Summary!$Q$16</f>
        <v>0</v>
      </c>
      <c r="S85" s="39"/>
      <c r="T85" s="35"/>
      <c r="U85" s="40">
        <f t="shared" si="4"/>
        <v>0</v>
      </c>
    </row>
    <row r="86" spans="1:21" s="3" customFormat="1" ht="25.4" hidden="1" customHeight="1">
      <c r="A86" s="3" t="s">
        <v>860</v>
      </c>
      <c r="B86" s="3" t="s">
        <v>51</v>
      </c>
      <c r="D86" s="26" t="s">
        <v>861</v>
      </c>
      <c r="E86" s="43">
        <f>EO!E86+Finance!E86+HR!E86+Security!E86+IT!E86</f>
        <v>0</v>
      </c>
      <c r="F86" s="43">
        <f>EO!F86+Finance!F86+HR!F86+Security!F86+IT!F86</f>
        <v>0</v>
      </c>
      <c r="G86" s="43">
        <f>EO!G86+Finance!G86+HR!G86+Security!G86+IT!G86</f>
        <v>0</v>
      </c>
      <c r="H86" s="43">
        <f>EO!H86+Finance!H86+HR!H86+Security!H86+IT!H86</f>
        <v>0</v>
      </c>
      <c r="I86" s="43">
        <f>EO!I86+Finance!I86+HR!I86+Security!I86+IT!I86</f>
        <v>0</v>
      </c>
      <c r="J86" s="43">
        <f>EO!J86+Finance!J86+HR!J86+Security!J86+IT!J86</f>
        <v>0</v>
      </c>
      <c r="K86" s="43">
        <f>EO!K86+Finance!K86+HR!K86+Security!K86+IT!K86</f>
        <v>0</v>
      </c>
      <c r="L86" s="43">
        <f>EO!L86+Finance!L86+HR!L86+Security!L86+IT!L86</f>
        <v>0</v>
      </c>
      <c r="M86" s="43">
        <f>EO!M86+Finance!M86+HR!M86+Security!M86+IT!M86</f>
        <v>0</v>
      </c>
      <c r="N86" s="43">
        <f>EO!N86+Finance!N86+HR!N86+Security!N86+IT!N86</f>
        <v>0</v>
      </c>
      <c r="O86" s="43">
        <f>EO!O86+Finance!O86+HR!O86+Security!O86+IT!O86</f>
        <v>0</v>
      </c>
      <c r="P86" s="43">
        <f>EO!P86+Finance!P86+HR!P86+Security!P86+IT!P86</f>
        <v>0</v>
      </c>
      <c r="Q86" s="3">
        <f t="shared" si="5"/>
        <v>0</v>
      </c>
      <c r="R86" s="39">
        <f>Q86/Summary!$Q$16</f>
        <v>0</v>
      </c>
      <c r="S86" s="39"/>
      <c r="T86" s="35"/>
      <c r="U86" s="40"/>
    </row>
    <row r="87" spans="1:21" s="3" customFormat="1" ht="25.4" customHeight="1">
      <c r="A87" s="3" t="s">
        <v>862</v>
      </c>
      <c r="B87" s="3" t="s">
        <v>51</v>
      </c>
      <c r="D87" s="26" t="s">
        <v>863</v>
      </c>
      <c r="E87" s="43">
        <f>EO!E87+Finance!E87+HR!E87+Security!E87+IT!E87</f>
        <v>12276.722400000001</v>
      </c>
      <c r="F87" s="43">
        <f>EO!F87+Finance!F87+HR!F87+Security!F87+IT!F87</f>
        <v>15715.355000000003</v>
      </c>
      <c r="G87" s="43">
        <f>EO!G87+Finance!G87+HR!G87+Security!G87+IT!G87</f>
        <v>11013.2552</v>
      </c>
      <c r="H87" s="43">
        <f>EO!H87+Finance!H87+HR!H87+Security!H87+IT!H87</f>
        <v>10407.354800000001</v>
      </c>
      <c r="I87" s="43">
        <f>EO!I87+Finance!I87+HR!I87+Security!I87+IT!I87</f>
        <v>13558.243800000004</v>
      </c>
      <c r="J87" s="43">
        <f>EO!J87+Finance!J87+HR!J87+Security!J87+IT!J87</f>
        <v>10872.851000000002</v>
      </c>
      <c r="K87" s="43">
        <f>EO!K87+Finance!K87+HR!K87+Security!K87+IT!K87</f>
        <v>14742.135199999999</v>
      </c>
      <c r="L87" s="43">
        <f>EO!L87+Finance!L87+HR!L87+Security!L87+IT!L87</f>
        <v>15172.881200000002</v>
      </c>
      <c r="M87" s="43">
        <f>EO!M87+Finance!M87+HR!M87+Security!M87+IT!M87</f>
        <v>9800.3380000000016</v>
      </c>
      <c r="N87" s="43">
        <f>EO!N87+Finance!N87+HR!N87+Security!N87+IT!N87</f>
        <v>16590.075400000002</v>
      </c>
      <c r="O87" s="43">
        <f>EO!O87+Finance!O87+HR!O87+Security!O87+IT!O87</f>
        <v>14082.384400000003</v>
      </c>
      <c r="P87" s="43">
        <f>EO!P87+Finance!P87+HR!P87+Security!P87+IT!P87</f>
        <v>15068.877200000001</v>
      </c>
      <c r="Q87" s="3">
        <f t="shared" si="5"/>
        <v>159300.47360000003</v>
      </c>
      <c r="R87" s="39">
        <f>Q87/Summary!$Q$16</f>
        <v>2E-3</v>
      </c>
      <c r="S87" s="39"/>
      <c r="T87" s="35"/>
      <c r="U87" s="40" t="e">
        <f>-IF(Q87-T87=0,0,(Q87-T87)/T87)</f>
        <v>#DIV/0!</v>
      </c>
    </row>
    <row r="88" spans="1:21" s="3" customFormat="1" ht="25.4" hidden="1" customHeight="1">
      <c r="A88" s="3" t="s">
        <v>864</v>
      </c>
      <c r="B88" s="3" t="s">
        <v>51</v>
      </c>
      <c r="D88" s="26" t="s">
        <v>865</v>
      </c>
      <c r="E88" s="43">
        <f>EO!E88+Finance!E88+HR!E88+Security!E88+IT!E88</f>
        <v>0</v>
      </c>
      <c r="F88" s="43">
        <f>EO!F88+Finance!F88+HR!F88+Security!F88+IT!F88</f>
        <v>0</v>
      </c>
      <c r="G88" s="43">
        <f>EO!G88+Finance!G88+HR!G88+Security!G88+IT!G88</f>
        <v>0</v>
      </c>
      <c r="H88" s="43">
        <f>EO!H88+Finance!H88+HR!H88+Security!H88+IT!H88</f>
        <v>0</v>
      </c>
      <c r="I88" s="43">
        <f>EO!I88+Finance!I88+HR!I88+Security!I88+IT!I88</f>
        <v>0</v>
      </c>
      <c r="J88" s="43">
        <f>EO!J88+Finance!J88+HR!J88+Security!J88+IT!J88</f>
        <v>0</v>
      </c>
      <c r="K88" s="43">
        <f>EO!K88+Finance!K88+HR!K88+Security!K88+IT!K88</f>
        <v>0</v>
      </c>
      <c r="L88" s="43">
        <f>EO!L88+Finance!L88+HR!L88+Security!L88+IT!L88</f>
        <v>0</v>
      </c>
      <c r="M88" s="43">
        <f>EO!M88+Finance!M88+HR!M88+Security!M88+IT!M88</f>
        <v>0</v>
      </c>
      <c r="N88" s="43">
        <f>EO!N88+Finance!N88+HR!N88+Security!N88+IT!N88</f>
        <v>0</v>
      </c>
      <c r="O88" s="43">
        <f>EO!O88+Finance!O88+HR!O88+Security!O88+IT!O88</f>
        <v>0</v>
      </c>
      <c r="P88" s="43">
        <f>EO!P88+Finance!P88+HR!P88+Security!P88+IT!P88</f>
        <v>0</v>
      </c>
      <c r="Q88" s="3">
        <f t="shared" si="5"/>
        <v>0</v>
      </c>
      <c r="R88" s="39">
        <f>Q88/Summary!$Q$16</f>
        <v>0</v>
      </c>
      <c r="S88" s="39"/>
      <c r="T88" s="35"/>
      <c r="U88" s="40">
        <f>-IF(Q88-T88=0,0,(Q88-T88)/T88)</f>
        <v>0</v>
      </c>
    </row>
    <row r="89" spans="1:21" s="3" customFormat="1" ht="25.4" hidden="1" customHeight="1">
      <c r="A89" s="3" t="s">
        <v>270</v>
      </c>
      <c r="B89" s="3" t="s">
        <v>51</v>
      </c>
      <c r="D89" s="26" t="s">
        <v>594</v>
      </c>
      <c r="E89" s="43">
        <f>EO!E89+Finance!E89+HR!E89+Security!E89+IT!E89</f>
        <v>0</v>
      </c>
      <c r="F89" s="43">
        <f>EO!F89+Finance!F89+HR!F89+Security!F89+IT!F89</f>
        <v>0</v>
      </c>
      <c r="G89" s="43">
        <f>EO!G89+Finance!G89+HR!G89+Security!G89+IT!G89</f>
        <v>0</v>
      </c>
      <c r="H89" s="43">
        <f>EO!H89+Finance!H89+HR!H89+Security!H89+IT!H89</f>
        <v>0</v>
      </c>
      <c r="I89" s="43">
        <f>EO!I89+Finance!I89+HR!I89+Security!I89+IT!I89</f>
        <v>0</v>
      </c>
      <c r="J89" s="43">
        <f>EO!J89+Finance!J89+HR!J89+Security!J89+IT!J89</f>
        <v>0</v>
      </c>
      <c r="K89" s="43">
        <f>EO!K89+Finance!K89+HR!K89+Security!K89+IT!K89</f>
        <v>0</v>
      </c>
      <c r="L89" s="43">
        <f>EO!L89+Finance!L89+HR!L89+Security!L89+IT!L89</f>
        <v>0</v>
      </c>
      <c r="M89" s="43">
        <f>EO!M89+Finance!M89+HR!M89+Security!M89+IT!M89</f>
        <v>0</v>
      </c>
      <c r="N89" s="43">
        <f>EO!N89+Finance!N89+HR!N89+Security!N89+IT!N89</f>
        <v>0</v>
      </c>
      <c r="O89" s="43">
        <f>EO!O89+Finance!O89+HR!O89+Security!O89+IT!O89</f>
        <v>0</v>
      </c>
      <c r="P89" s="43">
        <f>EO!P89+Finance!P89+HR!P89+Security!P89+IT!P89</f>
        <v>0</v>
      </c>
      <c r="Q89" s="3">
        <f t="shared" si="5"/>
        <v>0</v>
      </c>
      <c r="R89" s="39">
        <f>Q89/Summary!$Q$16</f>
        <v>0</v>
      </c>
      <c r="S89" s="39"/>
      <c r="T89" s="35"/>
      <c r="U89" s="40">
        <f>-IF(Q89-T89=0,0,(Q89-T89)/T89)</f>
        <v>0</v>
      </c>
    </row>
    <row r="90" spans="1:21" s="3" customFormat="1" ht="25.4" customHeight="1">
      <c r="A90" s="3" t="s">
        <v>1063</v>
      </c>
      <c r="B90" s="3" t="s">
        <v>51</v>
      </c>
      <c r="D90" s="26" t="s">
        <v>867</v>
      </c>
      <c r="E90" s="43">
        <f>EO!E90+Finance!E90+HR!E90+Security!E90+IT!E90</f>
        <v>10249.333333333334</v>
      </c>
      <c r="F90" s="43">
        <f>EO!F90+Finance!F90+HR!F90+Security!F90+IT!F90</f>
        <v>10249.333333333334</v>
      </c>
      <c r="G90" s="43">
        <f>EO!G90+Finance!G90+HR!G90+Security!G90+IT!G90</f>
        <v>10249.333333333334</v>
      </c>
      <c r="H90" s="43">
        <f>EO!H90+Finance!H90+HR!H90+Security!H90+IT!H90</f>
        <v>10249.333333333334</v>
      </c>
      <c r="I90" s="43">
        <f>EO!I90+Finance!I90+HR!I90+Security!I90+IT!I90</f>
        <v>10249.333333333334</v>
      </c>
      <c r="J90" s="43">
        <f>EO!J90+Finance!J90+HR!J90+Security!J90+IT!J90</f>
        <v>10249.333333333334</v>
      </c>
      <c r="K90" s="43">
        <f>EO!K90+Finance!K90+HR!K90+Security!K90+IT!K90</f>
        <v>10249.333333333334</v>
      </c>
      <c r="L90" s="43">
        <f>EO!L90+Finance!L90+HR!L90+Security!L90+IT!L90</f>
        <v>10249.333333333334</v>
      </c>
      <c r="M90" s="43">
        <f>EO!M90+Finance!M90+HR!M90+Security!M90+IT!M90</f>
        <v>10249.333333333334</v>
      </c>
      <c r="N90" s="43">
        <f>EO!N90+Finance!N90+HR!N90+Security!N90+IT!N90</f>
        <v>10249.333333333334</v>
      </c>
      <c r="O90" s="43">
        <f>EO!O90+Finance!O90+HR!O90+Security!O90+IT!O90</f>
        <v>10249.333333333334</v>
      </c>
      <c r="P90" s="43">
        <f>EO!P90+Finance!P90+HR!P90+Security!P90+IT!P90</f>
        <v>10249.333333333334</v>
      </c>
      <c r="Q90" s="3">
        <f t="shared" si="5"/>
        <v>122991.99999999999</v>
      </c>
      <c r="R90" s="39">
        <f>Q90/Summary!$Q$16</f>
        <v>1.5441510903329791E-3</v>
      </c>
      <c r="S90" s="39"/>
      <c r="T90" s="35"/>
      <c r="U90" s="40" t="e">
        <f>-IF(Q90-T90=0,0,(Q90-T90)/T90)</f>
        <v>#DIV/0!</v>
      </c>
    </row>
    <row r="91" spans="1:21" s="3" customFormat="1" ht="25.4" hidden="1" customHeight="1">
      <c r="A91" s="3" t="s">
        <v>272</v>
      </c>
      <c r="B91" s="3" t="s">
        <v>51</v>
      </c>
      <c r="D91" s="26" t="s">
        <v>273</v>
      </c>
      <c r="E91" s="43">
        <f>EO!E91+Finance!E91+HR!E91+Security!E91+IT!E91</f>
        <v>3750</v>
      </c>
      <c r="F91" s="43">
        <f>EO!F91+Finance!F91+HR!F91+Security!F91+IT!F91</f>
        <v>3750</v>
      </c>
      <c r="G91" s="43">
        <f>EO!G91+Finance!G91+HR!G91+Security!G91+IT!G91</f>
        <v>3750</v>
      </c>
      <c r="H91" s="43">
        <f>EO!H91+Finance!H91+HR!H91+Security!H91+IT!H91</f>
        <v>3750</v>
      </c>
      <c r="I91" s="43">
        <f>EO!I91+Finance!I91+HR!I91+Security!I91+IT!I91</f>
        <v>3750</v>
      </c>
      <c r="J91" s="43">
        <f>EO!J91+Finance!J91+HR!J91+Security!J91+IT!J91</f>
        <v>3750</v>
      </c>
      <c r="K91" s="43">
        <f>EO!K91+Finance!K91+HR!K91+Security!K91+IT!K91</f>
        <v>3750</v>
      </c>
      <c r="L91" s="43">
        <f>EO!L91+Finance!L91+HR!L91+Security!L91+IT!L91</f>
        <v>3750</v>
      </c>
      <c r="M91" s="43">
        <f>EO!M91+Finance!M91+HR!M91+Security!M91+IT!M91</f>
        <v>3750</v>
      </c>
      <c r="N91" s="43">
        <f>EO!N91+Finance!N91+HR!N91+Security!N91+IT!N91</f>
        <v>3750</v>
      </c>
      <c r="O91" s="43">
        <f>EO!O91+Finance!O91+HR!O91+Security!O91+IT!O91</f>
        <v>3750</v>
      </c>
      <c r="P91" s="43">
        <f>EO!P91+Finance!P91+HR!P91+Security!P91+IT!P91</f>
        <v>3750</v>
      </c>
      <c r="Q91" s="3">
        <f t="shared" si="5"/>
        <v>45000</v>
      </c>
      <c r="R91" s="39">
        <f>Q91/Summary!$Q$16</f>
        <v>5.6497007175250469E-4</v>
      </c>
      <c r="S91" s="39"/>
      <c r="T91" s="35"/>
      <c r="U91" s="40" t="e">
        <f>-IF(Q91-T91=0,0,(Q91-T91)/T91)</f>
        <v>#DIV/0!</v>
      </c>
    </row>
    <row r="92" spans="1:21" s="3" customFormat="1" ht="25.4" hidden="1" customHeight="1">
      <c r="A92" s="3" t="s">
        <v>868</v>
      </c>
      <c r="B92" s="3" t="s">
        <v>51</v>
      </c>
      <c r="D92" s="26" t="s">
        <v>869</v>
      </c>
      <c r="E92" s="43">
        <f>EO!E92+Finance!E92+HR!E92+Security!E92+IT!E92</f>
        <v>0</v>
      </c>
      <c r="F92" s="43">
        <f>EO!F92+Finance!F92+HR!F92+Security!F92+IT!F92</f>
        <v>0</v>
      </c>
      <c r="G92" s="43">
        <f>EO!G92+Finance!G92+HR!G92+Security!G92+IT!G92</f>
        <v>0</v>
      </c>
      <c r="H92" s="43">
        <f>EO!H92+Finance!H92+HR!H92+Security!H92+IT!H92</f>
        <v>0</v>
      </c>
      <c r="I92" s="43">
        <f>EO!I92+Finance!I92+HR!I92+Security!I92+IT!I92</f>
        <v>0</v>
      </c>
      <c r="J92" s="43">
        <f>EO!J92+Finance!J92+HR!J92+Security!J92+IT!J92</f>
        <v>0</v>
      </c>
      <c r="K92" s="43">
        <f>EO!K92+Finance!K92+HR!K92+Security!K92+IT!K92</f>
        <v>0</v>
      </c>
      <c r="L92" s="43">
        <f>EO!L92+Finance!L92+HR!L92+Security!L92+IT!L92</f>
        <v>0</v>
      </c>
      <c r="M92" s="43">
        <f>EO!M92+Finance!M92+HR!M92+Security!M92+IT!M92</f>
        <v>0</v>
      </c>
      <c r="N92" s="43">
        <f>EO!N92+Finance!N92+HR!N92+Security!N92+IT!N92</f>
        <v>0</v>
      </c>
      <c r="O92" s="43">
        <f>EO!O92+Finance!O92+HR!O92+Security!O92+IT!O92</f>
        <v>0</v>
      </c>
      <c r="P92" s="43">
        <f>EO!P92+Finance!P92+HR!P92+Security!P92+IT!P92</f>
        <v>0</v>
      </c>
      <c r="Q92" s="3">
        <f t="shared" si="5"/>
        <v>0</v>
      </c>
      <c r="R92" s="39">
        <f>Q92/Summary!$Q$16</f>
        <v>0</v>
      </c>
      <c r="S92" s="39"/>
      <c r="T92" s="35"/>
      <c r="U92" s="40"/>
    </row>
    <row r="93" spans="1:21" s="3" customFormat="1" ht="25.4" customHeight="1">
      <c r="A93" s="3" t="s">
        <v>870</v>
      </c>
      <c r="B93" s="3" t="s">
        <v>51</v>
      </c>
      <c r="D93" s="26" t="s">
        <v>871</v>
      </c>
      <c r="E93" s="43">
        <f>EO!E93+Finance!E93+HR!E93+Security!E93+IT!E93</f>
        <v>500</v>
      </c>
      <c r="F93" s="43">
        <f>EO!F93+Finance!F93+HR!F93+Security!F93+IT!F93</f>
        <v>500</v>
      </c>
      <c r="G93" s="43">
        <f>EO!G93+Finance!G93+HR!G93+Security!G93+IT!G93</f>
        <v>500</v>
      </c>
      <c r="H93" s="43">
        <f>EO!H93+Finance!H93+HR!H93+Security!H93+IT!H93</f>
        <v>500</v>
      </c>
      <c r="I93" s="43">
        <f>EO!I93+Finance!I93+HR!I93+Security!I93+IT!I93</f>
        <v>500</v>
      </c>
      <c r="J93" s="43">
        <f>EO!J93+Finance!J93+HR!J93+Security!J93+IT!J93</f>
        <v>500</v>
      </c>
      <c r="K93" s="43">
        <f>EO!K93+Finance!K93+HR!K93+Security!K93+IT!K93</f>
        <v>500</v>
      </c>
      <c r="L93" s="43">
        <f>EO!L93+Finance!L93+HR!L93+Security!L93+IT!L93</f>
        <v>500</v>
      </c>
      <c r="M93" s="43">
        <f>EO!M93+Finance!M93+HR!M93+Security!M93+IT!M93</f>
        <v>500</v>
      </c>
      <c r="N93" s="43">
        <f>EO!N93+Finance!N93+HR!N93+Security!N93+IT!N93</f>
        <v>500</v>
      </c>
      <c r="O93" s="43">
        <f>EO!O93+Finance!O93+HR!O93+Security!O93+IT!O93</f>
        <v>500</v>
      </c>
      <c r="P93" s="43">
        <f>EO!P93+Finance!P93+HR!P93+Security!P93+IT!P93</f>
        <v>500</v>
      </c>
      <c r="Q93" s="3">
        <f t="shared" si="5"/>
        <v>6000</v>
      </c>
      <c r="R93" s="39">
        <f>Q93/Summary!$Q$16</f>
        <v>7.5329342900333965E-5</v>
      </c>
      <c r="S93" s="39"/>
      <c r="T93" s="35"/>
      <c r="U93" s="40" t="e">
        <f t="shared" ref="U93:U124" si="6">-IF(Q93-T93=0,0,(Q93-T93)/T93)</f>
        <v>#DIV/0!</v>
      </c>
    </row>
    <row r="94" spans="1:21" s="3" customFormat="1" ht="25.4" customHeight="1">
      <c r="A94" s="3" t="s">
        <v>872</v>
      </c>
      <c r="B94" s="3" t="s">
        <v>51</v>
      </c>
      <c r="D94" s="26" t="s">
        <v>873</v>
      </c>
      <c r="E94" s="43">
        <f>EO!E94+Finance!E94+HR!E94+Security!E94+IT!E94</f>
        <v>43295</v>
      </c>
      <c r="F94" s="43">
        <f>EO!F94+Finance!F94+HR!F94+Security!F94+IT!F94</f>
        <v>43294</v>
      </c>
      <c r="G94" s="43">
        <f>EO!G94+Finance!G94+HR!G94+Security!G94+IT!G94</f>
        <v>43294</v>
      </c>
      <c r="H94" s="43">
        <f>EO!H94+Finance!H94+HR!H94+Security!H94+IT!H94</f>
        <v>43294</v>
      </c>
      <c r="I94" s="43">
        <f>EO!I94+Finance!I94+HR!I94+Security!I94+IT!I94</f>
        <v>43294</v>
      </c>
      <c r="J94" s="43">
        <f>EO!J94+Finance!J94+HR!J94+Security!J94+IT!J94</f>
        <v>43294</v>
      </c>
      <c r="K94" s="43">
        <f>EO!K94+Finance!K94+HR!K94+Security!K94+IT!K94</f>
        <v>43294</v>
      </c>
      <c r="L94" s="43">
        <f>EO!L94+Finance!L94+HR!L94+Security!L94+IT!L94</f>
        <v>43294</v>
      </c>
      <c r="M94" s="43">
        <f>EO!M94+Finance!M94+HR!M94+Security!M94+IT!M94</f>
        <v>43294</v>
      </c>
      <c r="N94" s="43">
        <f>EO!N94+Finance!N94+HR!N94+Security!N94+IT!N94</f>
        <v>43294</v>
      </c>
      <c r="O94" s="43">
        <f>EO!O94+Finance!O94+HR!O94+Security!O94+IT!O94</f>
        <v>43294</v>
      </c>
      <c r="P94" s="43">
        <f>EO!P94+Finance!P94+HR!P94+Security!P94+IT!P94</f>
        <v>43295</v>
      </c>
      <c r="Q94" s="3">
        <f t="shared" si="5"/>
        <v>519530</v>
      </c>
      <c r="R94" s="39">
        <f>Q94/Summary!$Q$16</f>
        <v>6.522642252835084E-3</v>
      </c>
      <c r="S94" s="39"/>
      <c r="T94" s="35"/>
      <c r="U94" s="40" t="e">
        <f t="shared" si="6"/>
        <v>#DIV/0!</v>
      </c>
    </row>
    <row r="95" spans="1:21" s="3" customFormat="1" ht="25.4" customHeight="1">
      <c r="A95" s="3" t="s">
        <v>874</v>
      </c>
      <c r="B95" s="3" t="s">
        <v>51</v>
      </c>
      <c r="D95" s="26" t="s">
        <v>875</v>
      </c>
      <c r="E95" s="43">
        <f>EO!E95+Finance!E95+HR!E95+Security!E95+IT!E95</f>
        <v>0</v>
      </c>
      <c r="F95" s="43">
        <f>EO!F95+Finance!F95+HR!F95+Security!F95+IT!F95</f>
        <v>0</v>
      </c>
      <c r="G95" s="43">
        <f>EO!G95+Finance!G95+HR!G95+Security!G95+IT!G95</f>
        <v>0</v>
      </c>
      <c r="H95" s="43">
        <f>EO!H95+Finance!H95+HR!H95+Security!H95+IT!H95</f>
        <v>0</v>
      </c>
      <c r="I95" s="43">
        <f>EO!I95+Finance!I95+HR!I95+Security!I95+IT!I95</f>
        <v>0</v>
      </c>
      <c r="J95" s="43">
        <f>EO!J95+Finance!J95+HR!J95+Security!J95+IT!J95</f>
        <v>0</v>
      </c>
      <c r="K95" s="43">
        <f>EO!K95+Finance!K95+HR!K95+Security!K95+IT!K95</f>
        <v>0</v>
      </c>
      <c r="L95" s="43">
        <f>EO!L95+Finance!L95+HR!L95+Security!L95+IT!L95</f>
        <v>0</v>
      </c>
      <c r="M95" s="43">
        <f>EO!M95+Finance!M95+HR!M95+Security!M95+IT!M95</f>
        <v>0</v>
      </c>
      <c r="N95" s="43">
        <f>EO!N95+Finance!N95+HR!N95+Security!N95+IT!N95</f>
        <v>0</v>
      </c>
      <c r="O95" s="43">
        <f>EO!O95+Finance!O95+HR!O95+Security!O95+IT!O95</f>
        <v>0</v>
      </c>
      <c r="P95" s="43">
        <f>EO!P95+Finance!P95+HR!P95+Security!P95+IT!P95</f>
        <v>0</v>
      </c>
      <c r="Q95" s="3">
        <f t="shared" si="5"/>
        <v>0</v>
      </c>
      <c r="R95" s="39">
        <f>Q95/Summary!$Q$16</f>
        <v>0</v>
      </c>
      <c r="S95" s="39"/>
      <c r="T95" s="35"/>
      <c r="U95" s="40">
        <f t="shared" si="6"/>
        <v>0</v>
      </c>
    </row>
    <row r="96" spans="1:21" s="3" customFormat="1" ht="25.4" customHeight="1">
      <c r="A96" s="3" t="s">
        <v>876</v>
      </c>
      <c r="B96" s="3" t="s">
        <v>51</v>
      </c>
      <c r="D96" s="26" t="s">
        <v>877</v>
      </c>
      <c r="E96" s="43">
        <f>EO!E96+Finance!E96+HR!E96+Security!E96+IT!E96</f>
        <v>12000</v>
      </c>
      <c r="F96" s="43">
        <f>EO!F96+Finance!F96+HR!F96+Security!F96+IT!F96</f>
        <v>12000</v>
      </c>
      <c r="G96" s="43">
        <f>EO!G96+Finance!G96+HR!G96+Security!G96+IT!G96</f>
        <v>12000</v>
      </c>
      <c r="H96" s="43">
        <f>EO!H96+Finance!H96+HR!H96+Security!H96+IT!H96</f>
        <v>26000</v>
      </c>
      <c r="I96" s="43">
        <f>EO!I96+Finance!I96+HR!I96+Security!I96+IT!I96</f>
        <v>12000</v>
      </c>
      <c r="J96" s="43">
        <f>EO!J96+Finance!J96+HR!J96+Security!J96+IT!J96</f>
        <v>12000</v>
      </c>
      <c r="K96" s="43">
        <f>EO!K96+Finance!K96+HR!K96+Security!K96+IT!K96</f>
        <v>40000</v>
      </c>
      <c r="L96" s="43">
        <f>EO!L96+Finance!L96+HR!L96+Security!L96+IT!L96</f>
        <v>12000</v>
      </c>
      <c r="M96" s="43">
        <f>EO!M96+Finance!M96+HR!M96+Security!M96+IT!M96</f>
        <v>12000</v>
      </c>
      <c r="N96" s="43">
        <f>EO!N96+Finance!N96+HR!N96+Security!N96+IT!N96</f>
        <v>26000</v>
      </c>
      <c r="O96" s="43">
        <f>EO!O96+Finance!O96+HR!O96+Security!O96+IT!O96</f>
        <v>12000</v>
      </c>
      <c r="P96" s="43">
        <f>EO!P96+Finance!P96+HR!P96+Security!P96+IT!P96</f>
        <v>12000</v>
      </c>
      <c r="Q96" s="3">
        <f t="shared" si="5"/>
        <v>200000</v>
      </c>
      <c r="R96" s="39">
        <f>Q96/Summary!$Q$16</f>
        <v>2.5109780966777987E-3</v>
      </c>
      <c r="S96" s="39"/>
      <c r="T96" s="35"/>
      <c r="U96" s="40" t="e">
        <f t="shared" si="6"/>
        <v>#DIV/0!</v>
      </c>
    </row>
    <row r="97" spans="1:21" s="3" customFormat="1" ht="25.4" hidden="1" customHeight="1">
      <c r="A97" s="3" t="s">
        <v>878</v>
      </c>
      <c r="B97" s="3" t="s">
        <v>51</v>
      </c>
      <c r="D97" s="26" t="s">
        <v>879</v>
      </c>
      <c r="E97" s="43">
        <f>EO!E97+Finance!E97+HR!E97+Security!E97+IT!E97</f>
        <v>0</v>
      </c>
      <c r="F97" s="43">
        <f>EO!F97+Finance!F97+HR!F97+Security!F97+IT!F97</f>
        <v>0</v>
      </c>
      <c r="G97" s="43">
        <f>EO!G97+Finance!G97+HR!G97+Security!G97+IT!G97</f>
        <v>0</v>
      </c>
      <c r="H97" s="43">
        <f>EO!H97+Finance!H97+HR!H97+Security!H97+IT!H97</f>
        <v>0</v>
      </c>
      <c r="I97" s="43">
        <f>EO!I97+Finance!I97+HR!I97+Security!I97+IT!I97</f>
        <v>0</v>
      </c>
      <c r="J97" s="43">
        <f>EO!J97+Finance!J97+HR!J97+Security!J97+IT!J97</f>
        <v>0</v>
      </c>
      <c r="K97" s="43">
        <f>EO!K97+Finance!K97+HR!K97+Security!K97+IT!K97</f>
        <v>0</v>
      </c>
      <c r="L97" s="43">
        <f>EO!L97+Finance!L97+HR!L97+Security!L97+IT!L97</f>
        <v>0</v>
      </c>
      <c r="M97" s="43">
        <f>EO!M97+Finance!M97+HR!M97+Security!M97+IT!M97</f>
        <v>0</v>
      </c>
      <c r="N97" s="43">
        <f>EO!N97+Finance!N97+HR!N97+Security!N97+IT!N97</f>
        <v>0</v>
      </c>
      <c r="O97" s="43">
        <f>EO!O97+Finance!O97+HR!O97+Security!O97+IT!O97</f>
        <v>0</v>
      </c>
      <c r="P97" s="43">
        <f>EO!P97+Finance!P97+HR!P97+Security!P97+IT!P97</f>
        <v>0</v>
      </c>
      <c r="Q97" s="3">
        <f t="shared" si="5"/>
        <v>0</v>
      </c>
      <c r="R97" s="39">
        <f>Q97/Summary!$Q$16</f>
        <v>0</v>
      </c>
      <c r="S97" s="39"/>
      <c r="T97" s="35"/>
      <c r="U97" s="40">
        <f t="shared" si="6"/>
        <v>0</v>
      </c>
    </row>
    <row r="98" spans="1:21" s="3" customFormat="1" ht="25.4" hidden="1" customHeight="1">
      <c r="A98" s="3" t="s">
        <v>880</v>
      </c>
      <c r="B98" s="3" t="s">
        <v>51</v>
      </c>
      <c r="D98" s="26" t="s">
        <v>881</v>
      </c>
      <c r="E98" s="43">
        <f>EO!E98+Finance!E98+HR!E98+Security!E98+IT!E98</f>
        <v>0</v>
      </c>
      <c r="F98" s="43">
        <f>EO!F98+Finance!F98+HR!F98+Security!F98+IT!F98</f>
        <v>0</v>
      </c>
      <c r="G98" s="43">
        <f>EO!G98+Finance!G98+HR!G98+Security!G98+IT!G98</f>
        <v>0</v>
      </c>
      <c r="H98" s="43">
        <f>EO!H98+Finance!H98+HR!H98+Security!H98+IT!H98</f>
        <v>0</v>
      </c>
      <c r="I98" s="43">
        <f>EO!I98+Finance!I98+HR!I98+Security!I98+IT!I98</f>
        <v>0</v>
      </c>
      <c r="J98" s="43">
        <f>EO!J98+Finance!J98+HR!J98+Security!J98+IT!J98</f>
        <v>0</v>
      </c>
      <c r="K98" s="43">
        <f>EO!K98+Finance!K98+HR!K98+Security!K98+IT!K98</f>
        <v>0</v>
      </c>
      <c r="L98" s="43">
        <f>EO!L98+Finance!L98+HR!L98+Security!L98+IT!L98</f>
        <v>0</v>
      </c>
      <c r="M98" s="43">
        <f>EO!M98+Finance!M98+HR!M98+Security!M98+IT!M98</f>
        <v>0</v>
      </c>
      <c r="N98" s="43">
        <f>EO!N98+Finance!N98+HR!N98+Security!N98+IT!N98</f>
        <v>0</v>
      </c>
      <c r="O98" s="43">
        <f>EO!O98+Finance!O98+HR!O98+Security!O98+IT!O98</f>
        <v>0</v>
      </c>
      <c r="P98" s="43">
        <f>EO!P98+Finance!P98+HR!P98+Security!P98+IT!P98</f>
        <v>0</v>
      </c>
      <c r="Q98" s="3">
        <f t="shared" si="5"/>
        <v>0</v>
      </c>
      <c r="R98" s="39">
        <f>Q98/Summary!$Q$16</f>
        <v>0</v>
      </c>
      <c r="S98" s="39"/>
      <c r="T98" s="35"/>
      <c r="U98" s="40">
        <f t="shared" si="6"/>
        <v>0</v>
      </c>
    </row>
    <row r="99" spans="1:21" s="3" customFormat="1" ht="25.4" hidden="1" customHeight="1">
      <c r="A99" s="3" t="s">
        <v>882</v>
      </c>
      <c r="B99" s="3" t="s">
        <v>51</v>
      </c>
      <c r="D99" s="26" t="s">
        <v>883</v>
      </c>
      <c r="E99" s="43">
        <f>EO!E99+Finance!E99+HR!E99+Security!E99+IT!E99</f>
        <v>0</v>
      </c>
      <c r="F99" s="43">
        <f>EO!F99+Finance!F99+HR!F99+Security!F99+IT!F99</f>
        <v>0</v>
      </c>
      <c r="G99" s="43">
        <f>EO!G99+Finance!G99+HR!G99+Security!G99+IT!G99</f>
        <v>0</v>
      </c>
      <c r="H99" s="43">
        <f>EO!H99+Finance!H99+HR!H99+Security!H99+IT!H99</f>
        <v>0</v>
      </c>
      <c r="I99" s="43">
        <f>EO!I99+Finance!I99+HR!I99+Security!I99+IT!I99</f>
        <v>0</v>
      </c>
      <c r="J99" s="43">
        <f>EO!J99+Finance!J99+HR!J99+Security!J99+IT!J99</f>
        <v>0</v>
      </c>
      <c r="K99" s="43">
        <f>EO!K99+Finance!K99+HR!K99+Security!K99+IT!K99</f>
        <v>0</v>
      </c>
      <c r="L99" s="43">
        <f>EO!L99+Finance!L99+HR!L99+Security!L99+IT!L99</f>
        <v>0</v>
      </c>
      <c r="M99" s="43">
        <f>EO!M99+Finance!M99+HR!M99+Security!M99+IT!M99</f>
        <v>0</v>
      </c>
      <c r="N99" s="43">
        <f>EO!N99+Finance!N99+HR!N99+Security!N99+IT!N99</f>
        <v>0</v>
      </c>
      <c r="O99" s="43">
        <f>EO!O99+Finance!O99+HR!O99+Security!O99+IT!O99</f>
        <v>0</v>
      </c>
      <c r="P99" s="43">
        <f>EO!P99+Finance!P99+HR!P99+Security!P99+IT!P99</f>
        <v>0</v>
      </c>
      <c r="Q99" s="3">
        <f t="shared" si="5"/>
        <v>0</v>
      </c>
      <c r="R99" s="39">
        <f>Q99/Summary!$Q$16</f>
        <v>0</v>
      </c>
      <c r="S99" s="39"/>
      <c r="T99" s="35"/>
      <c r="U99" s="40">
        <f t="shared" si="6"/>
        <v>0</v>
      </c>
    </row>
    <row r="100" spans="1:21" s="3" customFormat="1" ht="25.4" hidden="1" customHeight="1">
      <c r="A100" s="3" t="s">
        <v>884</v>
      </c>
      <c r="B100" s="3" t="s">
        <v>51</v>
      </c>
      <c r="D100" s="26" t="s">
        <v>885</v>
      </c>
      <c r="E100" s="43">
        <f>EO!E100+Finance!E100+HR!E100+Security!E100+IT!E100</f>
        <v>0</v>
      </c>
      <c r="F100" s="43">
        <f>EO!F100+Finance!F100+HR!F100+Security!F100+IT!F100</f>
        <v>0</v>
      </c>
      <c r="G100" s="43">
        <f>EO!G100+Finance!G100+HR!G100+Security!G100+IT!G100</f>
        <v>0</v>
      </c>
      <c r="H100" s="43">
        <f>EO!H100+Finance!H100+HR!H100+Security!H100+IT!H100</f>
        <v>0</v>
      </c>
      <c r="I100" s="43">
        <f>EO!I100+Finance!I100+HR!I100+Security!I100+IT!I100</f>
        <v>0</v>
      </c>
      <c r="J100" s="43">
        <f>EO!J100+Finance!J100+HR!J100+Security!J100+IT!J100</f>
        <v>0</v>
      </c>
      <c r="K100" s="43">
        <f>EO!K100+Finance!K100+HR!K100+Security!K100+IT!K100</f>
        <v>0</v>
      </c>
      <c r="L100" s="43">
        <f>EO!L100+Finance!L100+HR!L100+Security!L100+IT!L100</f>
        <v>0</v>
      </c>
      <c r="M100" s="43">
        <f>EO!M100+Finance!M100+HR!M100+Security!M100+IT!M100</f>
        <v>0</v>
      </c>
      <c r="N100" s="43">
        <f>EO!N100+Finance!N100+HR!N100+Security!N100+IT!N100</f>
        <v>0</v>
      </c>
      <c r="O100" s="43">
        <f>EO!O100+Finance!O100+HR!O100+Security!O100+IT!O100</f>
        <v>0</v>
      </c>
      <c r="P100" s="43">
        <f>EO!P100+Finance!P100+HR!P100+Security!P100+IT!P100</f>
        <v>0</v>
      </c>
      <c r="Q100" s="3">
        <f t="shared" si="5"/>
        <v>0</v>
      </c>
      <c r="R100" s="39">
        <f>Q100/Summary!$Q$16</f>
        <v>0</v>
      </c>
      <c r="S100" s="39"/>
      <c r="T100" s="35"/>
      <c r="U100" s="40">
        <f t="shared" si="6"/>
        <v>0</v>
      </c>
    </row>
    <row r="101" spans="1:21" s="3" customFormat="1" ht="25.4" hidden="1" customHeight="1">
      <c r="A101" s="3" t="s">
        <v>886</v>
      </c>
      <c r="B101" s="3" t="s">
        <v>51</v>
      </c>
      <c r="D101" s="26" t="s">
        <v>887</v>
      </c>
      <c r="E101" s="43">
        <f>EO!E101+Finance!E101+HR!E101+Security!E101+IT!E101</f>
        <v>0</v>
      </c>
      <c r="F101" s="43">
        <f>EO!F101+Finance!F101+HR!F101+Security!F101+IT!F101</f>
        <v>0</v>
      </c>
      <c r="G101" s="43">
        <f>EO!G101+Finance!G101+HR!G101+Security!G101+IT!G101</f>
        <v>0</v>
      </c>
      <c r="H101" s="43">
        <f>EO!H101+Finance!H101+HR!H101+Security!H101+IT!H101</f>
        <v>0</v>
      </c>
      <c r="I101" s="43">
        <f>EO!I101+Finance!I101+HR!I101+Security!I101+IT!I101</f>
        <v>0</v>
      </c>
      <c r="J101" s="43">
        <f>EO!J101+Finance!J101+HR!J101+Security!J101+IT!J101</f>
        <v>0</v>
      </c>
      <c r="K101" s="43">
        <f>EO!K101+Finance!K101+HR!K101+Security!K101+IT!K101</f>
        <v>0</v>
      </c>
      <c r="L101" s="43">
        <f>EO!L101+Finance!L101+HR!L101+Security!L101+IT!L101</f>
        <v>0</v>
      </c>
      <c r="M101" s="43">
        <f>EO!M101+Finance!M101+HR!M101+Security!M101+IT!M101</f>
        <v>0</v>
      </c>
      <c r="N101" s="43">
        <f>EO!N101+Finance!N101+HR!N101+Security!N101+IT!N101</f>
        <v>0</v>
      </c>
      <c r="O101" s="43">
        <f>EO!O101+Finance!O101+HR!O101+Security!O101+IT!O101</f>
        <v>0</v>
      </c>
      <c r="P101" s="43">
        <f>EO!P101+Finance!P101+HR!P101+Security!P101+IT!P101</f>
        <v>0</v>
      </c>
      <c r="Q101" s="3">
        <f t="shared" si="5"/>
        <v>0</v>
      </c>
      <c r="R101" s="39">
        <f>Q101/Summary!$Q$16</f>
        <v>0</v>
      </c>
      <c r="S101" s="39"/>
      <c r="T101" s="35"/>
      <c r="U101" s="40">
        <f t="shared" si="6"/>
        <v>0</v>
      </c>
    </row>
    <row r="102" spans="1:21" s="3" customFormat="1" ht="25.4" hidden="1" customHeight="1">
      <c r="A102" s="3" t="s">
        <v>888</v>
      </c>
      <c r="B102" s="3" t="s">
        <v>51</v>
      </c>
      <c r="D102" s="26" t="s">
        <v>889</v>
      </c>
      <c r="E102" s="43">
        <f>EO!E102+Finance!E102+HR!E102+Security!E102+IT!E102</f>
        <v>0</v>
      </c>
      <c r="F102" s="43">
        <f>EO!F102+Finance!F102+HR!F102+Security!F102+IT!F102</f>
        <v>0</v>
      </c>
      <c r="G102" s="43">
        <f>EO!G102+Finance!G102+HR!G102+Security!G102+IT!G102</f>
        <v>0</v>
      </c>
      <c r="H102" s="43">
        <f>EO!H102+Finance!H102+HR!H102+Security!H102+IT!H102</f>
        <v>0</v>
      </c>
      <c r="I102" s="43">
        <f>EO!I102+Finance!I102+HR!I102+Security!I102+IT!I102</f>
        <v>0</v>
      </c>
      <c r="J102" s="43">
        <f>EO!J102+Finance!J102+HR!J102+Security!J102+IT!J102</f>
        <v>0</v>
      </c>
      <c r="K102" s="43">
        <f>EO!K102+Finance!K102+HR!K102+Security!K102+IT!K102</f>
        <v>0</v>
      </c>
      <c r="L102" s="43">
        <f>EO!L102+Finance!L102+HR!L102+Security!L102+IT!L102</f>
        <v>0</v>
      </c>
      <c r="M102" s="43">
        <f>EO!M102+Finance!M102+HR!M102+Security!M102+IT!M102</f>
        <v>0</v>
      </c>
      <c r="N102" s="43">
        <f>EO!N102+Finance!N102+HR!N102+Security!N102+IT!N102</f>
        <v>0</v>
      </c>
      <c r="O102" s="43">
        <f>EO!O102+Finance!O102+HR!O102+Security!O102+IT!O102</f>
        <v>0</v>
      </c>
      <c r="P102" s="43">
        <f>EO!P102+Finance!P102+HR!P102+Security!P102+IT!P102</f>
        <v>0</v>
      </c>
      <c r="Q102" s="3">
        <f t="shared" si="5"/>
        <v>0</v>
      </c>
      <c r="R102" s="39">
        <f>Q102/Summary!$Q$16</f>
        <v>0</v>
      </c>
      <c r="S102" s="39"/>
      <c r="T102" s="35"/>
      <c r="U102" s="40">
        <f t="shared" si="6"/>
        <v>0</v>
      </c>
    </row>
    <row r="103" spans="1:21" s="3" customFormat="1" ht="25.4" hidden="1" customHeight="1">
      <c r="A103" s="3" t="s">
        <v>890</v>
      </c>
      <c r="B103" s="3" t="s">
        <v>51</v>
      </c>
      <c r="D103" s="26" t="s">
        <v>891</v>
      </c>
      <c r="E103" s="43">
        <f>EO!E103+Finance!E103+HR!E103+Security!E103+IT!E103</f>
        <v>0</v>
      </c>
      <c r="F103" s="43">
        <f>EO!F103+Finance!F103+HR!F103+Security!F103+IT!F103</f>
        <v>0</v>
      </c>
      <c r="G103" s="43">
        <f>EO!G103+Finance!G103+HR!G103+Security!G103+IT!G103</f>
        <v>0</v>
      </c>
      <c r="H103" s="43">
        <f>EO!H103+Finance!H103+HR!H103+Security!H103+IT!H103</f>
        <v>0</v>
      </c>
      <c r="I103" s="43">
        <f>EO!I103+Finance!I103+HR!I103+Security!I103+IT!I103</f>
        <v>0</v>
      </c>
      <c r="J103" s="43">
        <f>EO!J103+Finance!J103+HR!J103+Security!J103+IT!J103</f>
        <v>0</v>
      </c>
      <c r="K103" s="43">
        <f>EO!K103+Finance!K103+HR!K103+Security!K103+IT!K103</f>
        <v>0</v>
      </c>
      <c r="L103" s="43">
        <f>EO!L103+Finance!L103+HR!L103+Security!L103+IT!L103</f>
        <v>0</v>
      </c>
      <c r="M103" s="43">
        <f>EO!M103+Finance!M103+HR!M103+Security!M103+IT!M103</f>
        <v>0</v>
      </c>
      <c r="N103" s="43">
        <f>EO!N103+Finance!N103+HR!N103+Security!N103+IT!N103</f>
        <v>0</v>
      </c>
      <c r="O103" s="43">
        <f>EO!O103+Finance!O103+HR!O103+Security!O103+IT!O103</f>
        <v>0</v>
      </c>
      <c r="P103" s="43">
        <f>EO!P103+Finance!P103+HR!P103+Security!P103+IT!P103</f>
        <v>0</v>
      </c>
      <c r="Q103" s="3">
        <f t="shared" si="5"/>
        <v>0</v>
      </c>
      <c r="R103" s="39">
        <f>Q103/Summary!$Q$16</f>
        <v>0</v>
      </c>
      <c r="S103" s="39"/>
      <c r="T103" s="35"/>
      <c r="U103" s="40">
        <f t="shared" si="6"/>
        <v>0</v>
      </c>
    </row>
    <row r="104" spans="1:21" s="3" customFormat="1" ht="25.4" hidden="1" customHeight="1">
      <c r="A104" s="3" t="s">
        <v>892</v>
      </c>
      <c r="B104" s="3" t="s">
        <v>51</v>
      </c>
      <c r="D104" s="26" t="s">
        <v>893</v>
      </c>
      <c r="E104" s="43">
        <f>EO!E104+Finance!E104+HR!E104+Security!E104+IT!E104</f>
        <v>200</v>
      </c>
      <c r="F104" s="43">
        <f>EO!F104+Finance!F104+HR!F104+Security!F104+IT!F104</f>
        <v>200</v>
      </c>
      <c r="G104" s="43">
        <f>EO!G104+Finance!G104+HR!G104+Security!G104+IT!G104</f>
        <v>200</v>
      </c>
      <c r="H104" s="43">
        <f>EO!H104+Finance!H104+HR!H104+Security!H104+IT!H104</f>
        <v>200</v>
      </c>
      <c r="I104" s="43">
        <f>EO!I104+Finance!I104+HR!I104+Security!I104+IT!I104</f>
        <v>200</v>
      </c>
      <c r="J104" s="43">
        <f>EO!J104+Finance!J104+HR!J104+Security!J104+IT!J104</f>
        <v>200</v>
      </c>
      <c r="K104" s="43">
        <f>EO!K104+Finance!K104+HR!K104+Security!K104+IT!K104</f>
        <v>200</v>
      </c>
      <c r="L104" s="43">
        <f>EO!L104+Finance!L104+HR!L104+Security!L104+IT!L104</f>
        <v>200</v>
      </c>
      <c r="M104" s="43">
        <f>EO!M104+Finance!M104+HR!M104+Security!M104+IT!M104</f>
        <v>200</v>
      </c>
      <c r="N104" s="43">
        <f>EO!N104+Finance!N104+HR!N104+Security!N104+IT!N104</f>
        <v>200</v>
      </c>
      <c r="O104" s="43">
        <f>EO!O104+Finance!O104+HR!O104+Security!O104+IT!O104</f>
        <v>200</v>
      </c>
      <c r="P104" s="43">
        <f>EO!P104+Finance!P104+HR!P104+Security!P104+IT!P104</f>
        <v>200</v>
      </c>
      <c r="Q104" s="3">
        <f t="shared" si="5"/>
        <v>2400</v>
      </c>
      <c r="R104" s="39">
        <f>Q104/Summary!$Q$16</f>
        <v>3.0131737160133587E-5</v>
      </c>
      <c r="S104" s="39"/>
      <c r="T104" s="35"/>
      <c r="U104" s="40" t="e">
        <f t="shared" si="6"/>
        <v>#DIV/0!</v>
      </c>
    </row>
    <row r="105" spans="1:21" s="3" customFormat="1" ht="25.4" hidden="1" customHeight="1">
      <c r="A105" s="3" t="s">
        <v>894</v>
      </c>
      <c r="B105" s="3" t="s">
        <v>51</v>
      </c>
      <c r="D105" s="26" t="s">
        <v>895</v>
      </c>
      <c r="E105" s="43">
        <f>EO!E105+Finance!E105+HR!E105+Security!E105+IT!E105</f>
        <v>0</v>
      </c>
      <c r="F105" s="43">
        <f>EO!F105+Finance!F105+HR!F105+Security!F105+IT!F105</f>
        <v>0</v>
      </c>
      <c r="G105" s="43">
        <f>EO!G105+Finance!G105+HR!G105+Security!G105+IT!G105</f>
        <v>0</v>
      </c>
      <c r="H105" s="43">
        <f>EO!H105+Finance!H105+HR!H105+Security!H105+IT!H105</f>
        <v>0</v>
      </c>
      <c r="I105" s="43">
        <f>EO!I105+Finance!I105+HR!I105+Security!I105+IT!I105</f>
        <v>0</v>
      </c>
      <c r="J105" s="43">
        <f>EO!J105+Finance!J105+HR!J105+Security!J105+IT!J105</f>
        <v>0</v>
      </c>
      <c r="K105" s="43">
        <f>EO!K105+Finance!K105+HR!K105+Security!K105+IT!K105</f>
        <v>0</v>
      </c>
      <c r="L105" s="43">
        <f>EO!L105+Finance!L105+HR!L105+Security!L105+IT!L105</f>
        <v>0</v>
      </c>
      <c r="M105" s="43">
        <f>EO!M105+Finance!M105+HR!M105+Security!M105+IT!M105</f>
        <v>0</v>
      </c>
      <c r="N105" s="43">
        <f>EO!N105+Finance!N105+HR!N105+Security!N105+IT!N105</f>
        <v>0</v>
      </c>
      <c r="O105" s="43">
        <f>EO!O105+Finance!O105+HR!O105+Security!O105+IT!O105</f>
        <v>0</v>
      </c>
      <c r="P105" s="43">
        <f>EO!P105+Finance!P105+HR!P105+Security!P105+IT!P105</f>
        <v>0</v>
      </c>
      <c r="Q105" s="3">
        <f t="shared" si="5"/>
        <v>0</v>
      </c>
      <c r="R105" s="39">
        <f>Q105/Summary!$Q$16</f>
        <v>0</v>
      </c>
      <c r="S105" s="39"/>
      <c r="T105" s="35"/>
      <c r="U105" s="40">
        <f t="shared" si="6"/>
        <v>0</v>
      </c>
    </row>
    <row r="106" spans="1:21" s="3" customFormat="1" ht="25.4" hidden="1" customHeight="1">
      <c r="A106" s="3" t="s">
        <v>896</v>
      </c>
      <c r="B106" s="3" t="s">
        <v>51</v>
      </c>
      <c r="D106" s="26" t="s">
        <v>897</v>
      </c>
      <c r="E106" s="43">
        <f>EO!E106+Finance!E106+HR!E106+Security!E106+IT!E106</f>
        <v>0</v>
      </c>
      <c r="F106" s="43">
        <f>EO!F106+Finance!F106+HR!F106+Security!F106+IT!F106</f>
        <v>0</v>
      </c>
      <c r="G106" s="43">
        <f>EO!G106+Finance!G106+HR!G106+Security!G106+IT!G106</f>
        <v>0</v>
      </c>
      <c r="H106" s="43">
        <f>EO!H106+Finance!H106+HR!H106+Security!H106+IT!H106</f>
        <v>0</v>
      </c>
      <c r="I106" s="43">
        <f>EO!I106+Finance!I106+HR!I106+Security!I106+IT!I106</f>
        <v>0</v>
      </c>
      <c r="J106" s="43">
        <f>EO!J106+Finance!J106+HR!J106+Security!J106+IT!J106</f>
        <v>0</v>
      </c>
      <c r="K106" s="43">
        <f>EO!K106+Finance!K106+HR!K106+Security!K106+IT!K106</f>
        <v>0</v>
      </c>
      <c r="L106" s="43">
        <f>EO!L106+Finance!L106+HR!L106+Security!L106+IT!L106</f>
        <v>0</v>
      </c>
      <c r="M106" s="43">
        <f>EO!M106+Finance!M106+HR!M106+Security!M106+IT!M106</f>
        <v>0</v>
      </c>
      <c r="N106" s="43">
        <f>EO!N106+Finance!N106+HR!N106+Security!N106+IT!N106</f>
        <v>0</v>
      </c>
      <c r="O106" s="43">
        <f>EO!O106+Finance!O106+HR!O106+Security!O106+IT!O106</f>
        <v>0</v>
      </c>
      <c r="P106" s="43">
        <f>EO!P106+Finance!P106+HR!P106+Security!P106+IT!P106</f>
        <v>0</v>
      </c>
      <c r="Q106" s="3">
        <f t="shared" si="5"/>
        <v>0</v>
      </c>
      <c r="R106" s="39">
        <f>Q106/Summary!$Q$16</f>
        <v>0</v>
      </c>
      <c r="S106" s="39"/>
      <c r="T106" s="35"/>
      <c r="U106" s="40">
        <f t="shared" si="6"/>
        <v>0</v>
      </c>
    </row>
    <row r="107" spans="1:21" s="3" customFormat="1" ht="25.4" hidden="1" customHeight="1">
      <c r="A107" s="3" t="s">
        <v>898</v>
      </c>
      <c r="B107" s="3" t="s">
        <v>51</v>
      </c>
      <c r="D107" s="26" t="s">
        <v>899</v>
      </c>
      <c r="E107" s="43">
        <f>EO!E107+Finance!E107+HR!E107+Security!E107+IT!E107</f>
        <v>0</v>
      </c>
      <c r="F107" s="43">
        <f>EO!F107+Finance!F107+HR!F107+Security!F107+IT!F107</f>
        <v>0</v>
      </c>
      <c r="G107" s="43">
        <f>EO!G107+Finance!G107+HR!G107+Security!G107+IT!G107</f>
        <v>0</v>
      </c>
      <c r="H107" s="43">
        <f>EO!H107+Finance!H107+HR!H107+Security!H107+IT!H107</f>
        <v>0</v>
      </c>
      <c r="I107" s="43">
        <f>EO!I107+Finance!I107+HR!I107+Security!I107+IT!I107</f>
        <v>0</v>
      </c>
      <c r="J107" s="43">
        <f>EO!J107+Finance!J107+HR!J107+Security!J107+IT!J107</f>
        <v>0</v>
      </c>
      <c r="K107" s="43">
        <f>EO!K107+Finance!K107+HR!K107+Security!K107+IT!K107</f>
        <v>0</v>
      </c>
      <c r="L107" s="43">
        <f>EO!L107+Finance!L107+HR!L107+Security!L107+IT!L107</f>
        <v>0</v>
      </c>
      <c r="M107" s="43">
        <f>EO!M107+Finance!M107+HR!M107+Security!M107+IT!M107</f>
        <v>0</v>
      </c>
      <c r="N107" s="43">
        <f>EO!N107+Finance!N107+HR!N107+Security!N107+IT!N107</f>
        <v>0</v>
      </c>
      <c r="O107" s="43">
        <f>EO!O107+Finance!O107+HR!O107+Security!O107+IT!O107</f>
        <v>0</v>
      </c>
      <c r="P107" s="43">
        <f>EO!P107+Finance!P107+HR!P107+Security!P107+IT!P107</f>
        <v>0</v>
      </c>
      <c r="Q107" s="3">
        <f t="shared" si="5"/>
        <v>0</v>
      </c>
      <c r="R107" s="39">
        <f>Q107/Summary!$Q$16</f>
        <v>0</v>
      </c>
      <c r="S107" s="39"/>
      <c r="T107" s="35"/>
      <c r="U107" s="40">
        <f t="shared" si="6"/>
        <v>0</v>
      </c>
    </row>
    <row r="108" spans="1:21" s="3" customFormat="1" ht="25.4" hidden="1" customHeight="1">
      <c r="A108" s="3" t="s">
        <v>900</v>
      </c>
      <c r="B108" s="3" t="s">
        <v>51</v>
      </c>
      <c r="D108" s="26" t="s">
        <v>901</v>
      </c>
      <c r="E108" s="43">
        <f>EO!E108+Finance!E108+HR!E108+Security!E108+IT!E108</f>
        <v>0</v>
      </c>
      <c r="F108" s="43">
        <f>EO!F108+Finance!F108+HR!F108+Security!F108+IT!F108</f>
        <v>0</v>
      </c>
      <c r="G108" s="43">
        <f>EO!G108+Finance!G108+HR!G108+Security!G108+IT!G108</f>
        <v>0</v>
      </c>
      <c r="H108" s="43">
        <f>EO!H108+Finance!H108+HR!H108+Security!H108+IT!H108</f>
        <v>0</v>
      </c>
      <c r="I108" s="43">
        <f>EO!I108+Finance!I108+HR!I108+Security!I108+IT!I108</f>
        <v>0</v>
      </c>
      <c r="J108" s="43">
        <f>EO!J108+Finance!J108+HR!J108+Security!J108+IT!J108</f>
        <v>0</v>
      </c>
      <c r="K108" s="43">
        <f>EO!K108+Finance!K108+HR!K108+Security!K108+IT!K108</f>
        <v>0</v>
      </c>
      <c r="L108" s="43">
        <f>EO!L108+Finance!L108+HR!L108+Security!L108+IT!L108</f>
        <v>0</v>
      </c>
      <c r="M108" s="43">
        <f>EO!M108+Finance!M108+HR!M108+Security!M108+IT!M108</f>
        <v>0</v>
      </c>
      <c r="N108" s="43">
        <f>EO!N108+Finance!N108+HR!N108+Security!N108+IT!N108</f>
        <v>0</v>
      </c>
      <c r="O108" s="43">
        <f>EO!O108+Finance!O108+HR!O108+Security!O108+IT!O108</f>
        <v>0</v>
      </c>
      <c r="P108" s="43">
        <f>EO!P108+Finance!P108+HR!P108+Security!P108+IT!P108</f>
        <v>0</v>
      </c>
      <c r="Q108" s="3">
        <f t="shared" si="5"/>
        <v>0</v>
      </c>
      <c r="R108" s="39">
        <f>Q108/Summary!$Q$16</f>
        <v>0</v>
      </c>
      <c r="S108" s="39"/>
      <c r="T108" s="35"/>
      <c r="U108" s="40">
        <f t="shared" si="6"/>
        <v>0</v>
      </c>
    </row>
    <row r="109" spans="1:21" s="3" customFormat="1" ht="25.4" hidden="1" customHeight="1">
      <c r="A109" s="3" t="s">
        <v>902</v>
      </c>
      <c r="B109" s="3" t="s">
        <v>51</v>
      </c>
      <c r="D109" s="26" t="s">
        <v>903</v>
      </c>
      <c r="E109" s="43">
        <f>EO!E109+Finance!E109+HR!E109+Security!E109+IT!E109</f>
        <v>0</v>
      </c>
      <c r="F109" s="43">
        <f>EO!F109+Finance!F109+HR!F109+Security!F109+IT!F109</f>
        <v>0</v>
      </c>
      <c r="G109" s="43">
        <f>EO!G109+Finance!G109+HR!G109+Security!G109+IT!G109</f>
        <v>0</v>
      </c>
      <c r="H109" s="43">
        <f>EO!H109+Finance!H109+HR!H109+Security!H109+IT!H109</f>
        <v>0</v>
      </c>
      <c r="I109" s="43">
        <f>EO!I109+Finance!I109+HR!I109+Security!I109+IT!I109</f>
        <v>0</v>
      </c>
      <c r="J109" s="43">
        <f>EO!J109+Finance!J109+HR!J109+Security!J109+IT!J109</f>
        <v>0</v>
      </c>
      <c r="K109" s="43">
        <f>EO!K109+Finance!K109+HR!K109+Security!K109+IT!K109</f>
        <v>0</v>
      </c>
      <c r="L109" s="43">
        <f>EO!L109+Finance!L109+HR!L109+Security!L109+IT!L109</f>
        <v>0</v>
      </c>
      <c r="M109" s="43">
        <f>EO!M109+Finance!M109+HR!M109+Security!M109+IT!M109</f>
        <v>0</v>
      </c>
      <c r="N109" s="43">
        <f>EO!N109+Finance!N109+HR!N109+Security!N109+IT!N109</f>
        <v>0</v>
      </c>
      <c r="O109" s="43">
        <f>EO!O109+Finance!O109+HR!O109+Security!O109+IT!O109</f>
        <v>0</v>
      </c>
      <c r="P109" s="43">
        <f>EO!P109+Finance!P109+HR!P109+Security!P109+IT!P109</f>
        <v>0</v>
      </c>
      <c r="Q109" s="3">
        <f t="shared" si="5"/>
        <v>0</v>
      </c>
      <c r="R109" s="39">
        <f>Q109/Summary!$Q$16</f>
        <v>0</v>
      </c>
      <c r="S109" s="39"/>
      <c r="T109" s="35"/>
      <c r="U109" s="40">
        <f t="shared" si="6"/>
        <v>0</v>
      </c>
    </row>
    <row r="110" spans="1:21" s="3" customFormat="1" ht="25.4" hidden="1" customHeight="1">
      <c r="A110" s="3" t="s">
        <v>904</v>
      </c>
      <c r="B110" s="3" t="s">
        <v>51</v>
      </c>
      <c r="D110" s="26" t="s">
        <v>905</v>
      </c>
      <c r="E110" s="43">
        <f>EO!E110+Finance!E110+HR!E110+Security!E110+IT!E110</f>
        <v>0</v>
      </c>
      <c r="F110" s="43">
        <f>EO!F110+Finance!F110+HR!F110+Security!F110+IT!F110</f>
        <v>0</v>
      </c>
      <c r="G110" s="43">
        <f>EO!G110+Finance!G110+HR!G110+Security!G110+IT!G110</f>
        <v>0</v>
      </c>
      <c r="H110" s="43">
        <f>EO!H110+Finance!H110+HR!H110+Security!H110+IT!H110</f>
        <v>0</v>
      </c>
      <c r="I110" s="43">
        <f>EO!I110+Finance!I110+HR!I110+Security!I110+IT!I110</f>
        <v>0</v>
      </c>
      <c r="J110" s="43">
        <f>EO!J110+Finance!J110+HR!J110+Security!J110+IT!J110</f>
        <v>0</v>
      </c>
      <c r="K110" s="43">
        <f>EO!K110+Finance!K110+HR!K110+Security!K110+IT!K110</f>
        <v>0</v>
      </c>
      <c r="L110" s="43">
        <f>EO!L110+Finance!L110+HR!L110+Security!L110+IT!L110</f>
        <v>0</v>
      </c>
      <c r="M110" s="43">
        <f>EO!M110+Finance!M110+HR!M110+Security!M110+IT!M110</f>
        <v>0</v>
      </c>
      <c r="N110" s="43">
        <f>EO!N110+Finance!N110+HR!N110+Security!N110+IT!N110</f>
        <v>0</v>
      </c>
      <c r="O110" s="43">
        <f>EO!O110+Finance!O110+HR!O110+Security!O110+IT!O110</f>
        <v>0</v>
      </c>
      <c r="P110" s="43">
        <f>EO!P110+Finance!P110+HR!P110+Security!P110+IT!P110</f>
        <v>0</v>
      </c>
      <c r="Q110" s="3">
        <f t="shared" si="5"/>
        <v>0</v>
      </c>
      <c r="R110" s="39">
        <f>Q110/Summary!$Q$16</f>
        <v>0</v>
      </c>
      <c r="S110" s="39"/>
      <c r="T110" s="35"/>
      <c r="U110" s="40">
        <f t="shared" si="6"/>
        <v>0</v>
      </c>
    </row>
    <row r="111" spans="1:21" s="3" customFormat="1" ht="25.4" hidden="1" customHeight="1">
      <c r="A111" s="3" t="s">
        <v>906</v>
      </c>
      <c r="B111" s="3" t="s">
        <v>51</v>
      </c>
      <c r="D111" s="26" t="s">
        <v>907</v>
      </c>
      <c r="E111" s="43">
        <f>EO!E111+Finance!E111+HR!E111+Security!E111+IT!E111</f>
        <v>0</v>
      </c>
      <c r="F111" s="43">
        <f>EO!F111+Finance!F111+HR!F111+Security!F111+IT!F111</f>
        <v>0</v>
      </c>
      <c r="G111" s="43">
        <f>EO!G111+Finance!G111+HR!G111+Security!G111+IT!G111</f>
        <v>0</v>
      </c>
      <c r="H111" s="43">
        <f>EO!H111+Finance!H111+HR!H111+Security!H111+IT!H111</f>
        <v>0</v>
      </c>
      <c r="I111" s="43">
        <f>EO!I111+Finance!I111+HR!I111+Security!I111+IT!I111</f>
        <v>0</v>
      </c>
      <c r="J111" s="43">
        <f>EO!J111+Finance!J111+HR!J111+Security!J111+IT!J111</f>
        <v>0</v>
      </c>
      <c r="K111" s="43">
        <f>EO!K111+Finance!K111+HR!K111+Security!K111+IT!K111</f>
        <v>0</v>
      </c>
      <c r="L111" s="43">
        <f>EO!L111+Finance!L111+HR!L111+Security!L111+IT!L111</f>
        <v>0</v>
      </c>
      <c r="M111" s="43">
        <f>EO!M111+Finance!M111+HR!M111+Security!M111+IT!M111</f>
        <v>0</v>
      </c>
      <c r="N111" s="43">
        <f>EO!N111+Finance!N111+HR!N111+Security!N111+IT!N111</f>
        <v>0</v>
      </c>
      <c r="O111" s="43">
        <f>EO!O111+Finance!O111+HR!O111+Security!O111+IT!O111</f>
        <v>0</v>
      </c>
      <c r="P111" s="43">
        <f>EO!P111+Finance!P111+HR!P111+Security!P111+IT!P111</f>
        <v>0</v>
      </c>
      <c r="Q111" s="3">
        <f t="shared" si="5"/>
        <v>0</v>
      </c>
      <c r="R111" s="39">
        <f>Q111/Summary!$Q$16</f>
        <v>0</v>
      </c>
      <c r="S111" s="39"/>
      <c r="T111" s="35"/>
      <c r="U111" s="40">
        <f t="shared" si="6"/>
        <v>0</v>
      </c>
    </row>
    <row r="112" spans="1:21" s="3" customFormat="1" ht="25.4" customHeight="1">
      <c r="A112" s="3" t="s">
        <v>908</v>
      </c>
      <c r="B112" s="3" t="s">
        <v>51</v>
      </c>
      <c r="D112" s="26" t="s">
        <v>909</v>
      </c>
      <c r="E112" s="43">
        <f>EO!E112+Finance!E112+HR!E112+Security!E112+IT!E112</f>
        <v>0</v>
      </c>
      <c r="F112" s="43">
        <f>EO!F112+Finance!F112+HR!F112+Security!F112+IT!F112</f>
        <v>0</v>
      </c>
      <c r="G112" s="43">
        <f>EO!G112+Finance!G112+HR!G112+Security!G112+IT!G112</f>
        <v>0</v>
      </c>
      <c r="H112" s="43">
        <f>EO!H112+Finance!H112+HR!H112+Security!H112+IT!H112</f>
        <v>0</v>
      </c>
      <c r="I112" s="43">
        <f>EO!I112+Finance!I112+HR!I112+Security!I112+IT!I112</f>
        <v>0</v>
      </c>
      <c r="J112" s="43">
        <f>EO!J112+Finance!J112+HR!J112+Security!J112+IT!J112</f>
        <v>0</v>
      </c>
      <c r="K112" s="43">
        <f>EO!K112+Finance!K112+HR!K112+Security!K112+IT!K112</f>
        <v>0</v>
      </c>
      <c r="L112" s="43">
        <f>EO!L112+Finance!L112+HR!L112+Security!L112+IT!L112</f>
        <v>0</v>
      </c>
      <c r="M112" s="43">
        <f>EO!M112+Finance!M112+HR!M112+Security!M112+IT!M112</f>
        <v>0</v>
      </c>
      <c r="N112" s="43">
        <f>EO!N112+Finance!N112+HR!N112+Security!N112+IT!N112</f>
        <v>0</v>
      </c>
      <c r="O112" s="43">
        <f>EO!O112+Finance!O112+HR!O112+Security!O112+IT!O112</f>
        <v>0</v>
      </c>
      <c r="P112" s="43">
        <f>EO!P112+Finance!P112+HR!P112+Security!P112+IT!P112</f>
        <v>0</v>
      </c>
      <c r="Q112" s="3">
        <f t="shared" si="5"/>
        <v>0</v>
      </c>
      <c r="R112" s="39">
        <f>Q112/Summary!$Q$16</f>
        <v>0</v>
      </c>
      <c r="S112" s="39"/>
      <c r="T112" s="35"/>
      <c r="U112" s="40">
        <f t="shared" si="6"/>
        <v>0</v>
      </c>
    </row>
    <row r="113" spans="1:21" s="3" customFormat="1" ht="25.4" hidden="1" customHeight="1">
      <c r="A113" s="3" t="s">
        <v>910</v>
      </c>
      <c r="B113" s="3" t="s">
        <v>51</v>
      </c>
      <c r="D113" s="26" t="s">
        <v>911</v>
      </c>
      <c r="E113" s="43">
        <f>EO!E113+Finance!E113+HR!E113+Security!E113+IT!E113</f>
        <v>0</v>
      </c>
      <c r="F113" s="43">
        <f>EO!F113+Finance!F113+HR!F113+Security!F113+IT!F113</f>
        <v>0</v>
      </c>
      <c r="G113" s="43">
        <f>EO!G113+Finance!G113+HR!G113+Security!G113+IT!G113</f>
        <v>0</v>
      </c>
      <c r="H113" s="43">
        <f>EO!H113+Finance!H113+HR!H113+Security!H113+IT!H113</f>
        <v>0</v>
      </c>
      <c r="I113" s="43">
        <f>EO!I113+Finance!I113+HR!I113+Security!I113+IT!I113</f>
        <v>0</v>
      </c>
      <c r="J113" s="43">
        <f>EO!J113+Finance!J113+HR!J113+Security!J113+IT!J113</f>
        <v>0</v>
      </c>
      <c r="K113" s="43">
        <f>EO!K113+Finance!K113+HR!K113+Security!K113+IT!K113</f>
        <v>0</v>
      </c>
      <c r="L113" s="43">
        <f>EO!L113+Finance!L113+HR!L113+Security!L113+IT!L113</f>
        <v>0</v>
      </c>
      <c r="M113" s="43">
        <f>EO!M113+Finance!M113+HR!M113+Security!M113+IT!M113</f>
        <v>0</v>
      </c>
      <c r="N113" s="43">
        <f>EO!N113+Finance!N113+HR!N113+Security!N113+IT!N113</f>
        <v>0</v>
      </c>
      <c r="O113" s="43">
        <f>EO!O113+Finance!O113+HR!O113+Security!O113+IT!O113</f>
        <v>0</v>
      </c>
      <c r="P113" s="43">
        <f>EO!P113+Finance!P113+HR!P113+Security!P113+IT!P113</f>
        <v>0</v>
      </c>
      <c r="Q113" s="3">
        <f t="shared" si="5"/>
        <v>0</v>
      </c>
      <c r="R113" s="39">
        <f>Q113/Summary!$Q$16</f>
        <v>0</v>
      </c>
      <c r="S113" s="39"/>
      <c r="T113" s="35"/>
      <c r="U113" s="40">
        <f t="shared" si="6"/>
        <v>0</v>
      </c>
    </row>
    <row r="114" spans="1:21" s="3" customFormat="1" ht="25.4" hidden="1" customHeight="1">
      <c r="A114" s="3" t="s">
        <v>912</v>
      </c>
      <c r="B114" s="3" t="s">
        <v>51</v>
      </c>
      <c r="D114" s="26" t="s">
        <v>913</v>
      </c>
      <c r="E114" s="43">
        <f>EO!E114+Finance!E114+HR!E114+Security!E114+IT!E114</f>
        <v>0</v>
      </c>
      <c r="F114" s="43">
        <f>EO!F114+Finance!F114+HR!F114+Security!F114+IT!F114</f>
        <v>0</v>
      </c>
      <c r="G114" s="43">
        <f>EO!G114+Finance!G114+HR!G114+Security!G114+IT!G114</f>
        <v>0</v>
      </c>
      <c r="H114" s="43">
        <f>EO!H114+Finance!H114+HR!H114+Security!H114+IT!H114</f>
        <v>0</v>
      </c>
      <c r="I114" s="43">
        <f>EO!I114+Finance!I114+HR!I114+Security!I114+IT!I114</f>
        <v>0</v>
      </c>
      <c r="J114" s="43">
        <f>EO!J114+Finance!J114+HR!J114+Security!J114+IT!J114</f>
        <v>0</v>
      </c>
      <c r="K114" s="43">
        <f>EO!K114+Finance!K114+HR!K114+Security!K114+IT!K114</f>
        <v>0</v>
      </c>
      <c r="L114" s="43">
        <f>EO!L114+Finance!L114+HR!L114+Security!L114+IT!L114</f>
        <v>0</v>
      </c>
      <c r="M114" s="43">
        <f>EO!M114+Finance!M114+HR!M114+Security!M114+IT!M114</f>
        <v>0</v>
      </c>
      <c r="N114" s="43">
        <f>EO!N114+Finance!N114+HR!N114+Security!N114+IT!N114</f>
        <v>0</v>
      </c>
      <c r="O114" s="43">
        <f>EO!O114+Finance!O114+HR!O114+Security!O114+IT!O114</f>
        <v>0</v>
      </c>
      <c r="P114" s="43">
        <f>EO!P114+Finance!P114+HR!P114+Security!P114+IT!P114</f>
        <v>0</v>
      </c>
      <c r="Q114" s="3">
        <f t="shared" si="5"/>
        <v>0</v>
      </c>
      <c r="R114" s="39">
        <f>Q114/Summary!$Q$16</f>
        <v>0</v>
      </c>
      <c r="S114" s="39"/>
      <c r="T114" s="35"/>
      <c r="U114" s="40">
        <f t="shared" si="6"/>
        <v>0</v>
      </c>
    </row>
    <row r="115" spans="1:21" s="3" customFormat="1" ht="25.4" hidden="1" customHeight="1">
      <c r="A115" s="3" t="s">
        <v>914</v>
      </c>
      <c r="B115" s="3" t="s">
        <v>51</v>
      </c>
      <c r="D115" s="26" t="s">
        <v>915</v>
      </c>
      <c r="E115" s="43">
        <f>EO!E115+Finance!E115+HR!E115+Security!E115+IT!E115</f>
        <v>0</v>
      </c>
      <c r="F115" s="43">
        <f>EO!F115+Finance!F115+HR!F115+Security!F115+IT!F115</f>
        <v>0</v>
      </c>
      <c r="G115" s="43">
        <f>EO!G115+Finance!G115+HR!G115+Security!G115+IT!G115</f>
        <v>0</v>
      </c>
      <c r="H115" s="43">
        <f>EO!H115+Finance!H115+HR!H115+Security!H115+IT!H115</f>
        <v>0</v>
      </c>
      <c r="I115" s="43">
        <f>EO!I115+Finance!I115+HR!I115+Security!I115+IT!I115</f>
        <v>0</v>
      </c>
      <c r="J115" s="43">
        <f>EO!J115+Finance!J115+HR!J115+Security!J115+IT!J115</f>
        <v>0</v>
      </c>
      <c r="K115" s="43">
        <f>EO!K115+Finance!K115+HR!K115+Security!K115+IT!K115</f>
        <v>0</v>
      </c>
      <c r="L115" s="43">
        <f>EO!L115+Finance!L115+HR!L115+Security!L115+IT!L115</f>
        <v>0</v>
      </c>
      <c r="M115" s="43">
        <f>EO!M115+Finance!M115+HR!M115+Security!M115+IT!M115</f>
        <v>0</v>
      </c>
      <c r="N115" s="43">
        <f>EO!N115+Finance!N115+HR!N115+Security!N115+IT!N115</f>
        <v>0</v>
      </c>
      <c r="O115" s="43">
        <f>EO!O115+Finance!O115+HR!O115+Security!O115+IT!O115</f>
        <v>0</v>
      </c>
      <c r="P115" s="43">
        <f>EO!P115+Finance!P115+HR!P115+Security!P115+IT!P115</f>
        <v>0</v>
      </c>
      <c r="Q115" s="3">
        <f t="shared" si="5"/>
        <v>0</v>
      </c>
      <c r="R115" s="39">
        <f>Q115/Summary!$Q$16</f>
        <v>0</v>
      </c>
      <c r="S115" s="39"/>
      <c r="T115" s="35"/>
      <c r="U115" s="40">
        <f t="shared" si="6"/>
        <v>0</v>
      </c>
    </row>
    <row r="116" spans="1:21" s="3" customFormat="1" ht="25.4" hidden="1" customHeight="1">
      <c r="A116" s="3" t="s">
        <v>916</v>
      </c>
      <c r="B116" s="3" t="s">
        <v>51</v>
      </c>
      <c r="D116" s="26" t="s">
        <v>917</v>
      </c>
      <c r="E116" s="43">
        <f>EO!E116+Finance!E116+HR!E116+Security!E116+IT!E116</f>
        <v>0</v>
      </c>
      <c r="F116" s="43">
        <f>EO!F116+Finance!F116+HR!F116+Security!F116+IT!F116</f>
        <v>0</v>
      </c>
      <c r="G116" s="43">
        <f>EO!G116+Finance!G116+HR!G116+Security!G116+IT!G116</f>
        <v>0</v>
      </c>
      <c r="H116" s="43">
        <f>EO!H116+Finance!H116+HR!H116+Security!H116+IT!H116</f>
        <v>0</v>
      </c>
      <c r="I116" s="43">
        <f>EO!I116+Finance!I116+HR!I116+Security!I116+IT!I116</f>
        <v>0</v>
      </c>
      <c r="J116" s="43">
        <f>EO!J116+Finance!J116+HR!J116+Security!J116+IT!J116</f>
        <v>0</v>
      </c>
      <c r="K116" s="43">
        <f>EO!K116+Finance!K116+HR!K116+Security!K116+IT!K116</f>
        <v>0</v>
      </c>
      <c r="L116" s="43">
        <f>EO!L116+Finance!L116+HR!L116+Security!L116+IT!L116</f>
        <v>0</v>
      </c>
      <c r="M116" s="43">
        <f>EO!M116+Finance!M116+HR!M116+Security!M116+IT!M116</f>
        <v>0</v>
      </c>
      <c r="N116" s="43">
        <f>EO!N116+Finance!N116+HR!N116+Security!N116+IT!N116</f>
        <v>0</v>
      </c>
      <c r="O116" s="43">
        <f>EO!O116+Finance!O116+HR!O116+Security!O116+IT!O116</f>
        <v>0</v>
      </c>
      <c r="P116" s="43">
        <f>EO!P116+Finance!P116+HR!P116+Security!P116+IT!P116</f>
        <v>0</v>
      </c>
      <c r="Q116" s="3">
        <f t="shared" si="5"/>
        <v>0</v>
      </c>
      <c r="R116" s="39">
        <f>Q116/Summary!$Q$16</f>
        <v>0</v>
      </c>
      <c r="S116" s="39"/>
      <c r="T116" s="35"/>
      <c r="U116" s="40">
        <f t="shared" si="6"/>
        <v>0</v>
      </c>
    </row>
    <row r="117" spans="1:21" s="3" customFormat="1" ht="25.4" hidden="1" customHeight="1">
      <c r="A117" s="3" t="s">
        <v>918</v>
      </c>
      <c r="B117" s="3" t="s">
        <v>51</v>
      </c>
      <c r="D117" s="26" t="s">
        <v>919</v>
      </c>
      <c r="E117" s="43">
        <f>EO!E117+Finance!E117+HR!E117+Security!E117+IT!E117</f>
        <v>0</v>
      </c>
      <c r="F117" s="43">
        <f>EO!F117+Finance!F117+HR!F117+Security!F117+IT!F117</f>
        <v>0</v>
      </c>
      <c r="G117" s="43">
        <f>EO!G117+Finance!G117+HR!G117+Security!G117+IT!G117</f>
        <v>0</v>
      </c>
      <c r="H117" s="43">
        <f>EO!H117+Finance!H117+HR!H117+Security!H117+IT!H117</f>
        <v>0</v>
      </c>
      <c r="I117" s="43">
        <f>EO!I117+Finance!I117+HR!I117+Security!I117+IT!I117</f>
        <v>0</v>
      </c>
      <c r="J117" s="43">
        <f>EO!J117+Finance!J117+HR!J117+Security!J117+IT!J117</f>
        <v>0</v>
      </c>
      <c r="K117" s="43">
        <f>EO!K117+Finance!K117+HR!K117+Security!K117+IT!K117</f>
        <v>0</v>
      </c>
      <c r="L117" s="43">
        <f>EO!L117+Finance!L117+HR!L117+Security!L117+IT!L117</f>
        <v>0</v>
      </c>
      <c r="M117" s="43">
        <f>EO!M117+Finance!M117+HR!M117+Security!M117+IT!M117</f>
        <v>0</v>
      </c>
      <c r="N117" s="43">
        <f>EO!N117+Finance!N117+HR!N117+Security!N117+IT!N117</f>
        <v>0</v>
      </c>
      <c r="O117" s="43">
        <f>EO!O117+Finance!O117+HR!O117+Security!O117+IT!O117</f>
        <v>0</v>
      </c>
      <c r="P117" s="43">
        <f>EO!P117+Finance!P117+HR!P117+Security!P117+IT!P117</f>
        <v>0</v>
      </c>
      <c r="Q117" s="3">
        <f t="shared" si="5"/>
        <v>0</v>
      </c>
      <c r="R117" s="39">
        <f>Q117/Summary!$Q$16</f>
        <v>0</v>
      </c>
      <c r="S117" s="39"/>
      <c r="T117" s="35"/>
      <c r="U117" s="40">
        <f t="shared" si="6"/>
        <v>0</v>
      </c>
    </row>
    <row r="118" spans="1:21" s="3" customFormat="1" ht="25.4" hidden="1" customHeight="1">
      <c r="A118" s="3" t="s">
        <v>920</v>
      </c>
      <c r="B118" s="3" t="s">
        <v>51</v>
      </c>
      <c r="D118" s="26" t="s">
        <v>921</v>
      </c>
      <c r="E118" s="43">
        <f>EO!E118+Finance!E118+HR!E118+Security!E118+IT!E118</f>
        <v>0</v>
      </c>
      <c r="F118" s="43">
        <f>EO!F118+Finance!F118+HR!F118+Security!F118+IT!F118</f>
        <v>0</v>
      </c>
      <c r="G118" s="43">
        <f>EO!G118+Finance!G118+HR!G118+Security!G118+IT!G118</f>
        <v>0</v>
      </c>
      <c r="H118" s="43">
        <f>EO!H118+Finance!H118+HR!H118+Security!H118+IT!H118</f>
        <v>0</v>
      </c>
      <c r="I118" s="43">
        <f>EO!I118+Finance!I118+HR!I118+Security!I118+IT!I118</f>
        <v>0</v>
      </c>
      <c r="J118" s="43">
        <f>EO!J118+Finance!J118+HR!J118+Security!J118+IT!J118</f>
        <v>0</v>
      </c>
      <c r="K118" s="43">
        <f>EO!K118+Finance!K118+HR!K118+Security!K118+IT!K118</f>
        <v>0</v>
      </c>
      <c r="L118" s="43">
        <f>EO!L118+Finance!L118+HR!L118+Security!L118+IT!L118</f>
        <v>0</v>
      </c>
      <c r="M118" s="43">
        <f>EO!M118+Finance!M118+HR!M118+Security!M118+IT!M118</f>
        <v>0</v>
      </c>
      <c r="N118" s="43">
        <f>EO!N118+Finance!N118+HR!N118+Security!N118+IT!N118</f>
        <v>0</v>
      </c>
      <c r="O118" s="43">
        <f>EO!O118+Finance!O118+HR!O118+Security!O118+IT!O118</f>
        <v>0</v>
      </c>
      <c r="P118" s="43">
        <f>EO!P118+Finance!P118+HR!P118+Security!P118+IT!P118</f>
        <v>0</v>
      </c>
      <c r="Q118" s="3">
        <f t="shared" si="5"/>
        <v>0</v>
      </c>
      <c r="R118" s="39">
        <f>Q118/Summary!$Q$16</f>
        <v>0</v>
      </c>
      <c r="S118" s="39"/>
      <c r="T118" s="35"/>
      <c r="U118" s="40">
        <f t="shared" si="6"/>
        <v>0</v>
      </c>
    </row>
    <row r="119" spans="1:21" s="3" customFormat="1" ht="25.4" hidden="1" customHeight="1">
      <c r="A119" s="3" t="s">
        <v>922</v>
      </c>
      <c r="B119" s="3" t="s">
        <v>51</v>
      </c>
      <c r="D119" s="26" t="s">
        <v>923</v>
      </c>
      <c r="E119" s="43">
        <f>EO!E119+Finance!E119+HR!E119+Security!E119+IT!E119</f>
        <v>0</v>
      </c>
      <c r="F119" s="43">
        <f>EO!F119+Finance!F119+HR!F119+Security!F119+IT!F119</f>
        <v>0</v>
      </c>
      <c r="G119" s="43">
        <f>EO!G119+Finance!G119+HR!G119+Security!G119+IT!G119</f>
        <v>0</v>
      </c>
      <c r="H119" s="43">
        <f>EO!H119+Finance!H119+HR!H119+Security!H119+IT!H119</f>
        <v>0</v>
      </c>
      <c r="I119" s="43">
        <f>EO!I119+Finance!I119+HR!I119+Security!I119+IT!I119</f>
        <v>0</v>
      </c>
      <c r="J119" s="43">
        <f>EO!J119+Finance!J119+HR!J119+Security!J119+IT!J119</f>
        <v>0</v>
      </c>
      <c r="K119" s="43">
        <f>EO!K119+Finance!K119+HR!K119+Security!K119+IT!K119</f>
        <v>0</v>
      </c>
      <c r="L119" s="43">
        <f>EO!L119+Finance!L119+HR!L119+Security!L119+IT!L119</f>
        <v>0</v>
      </c>
      <c r="M119" s="43">
        <f>EO!M119+Finance!M119+HR!M119+Security!M119+IT!M119</f>
        <v>0</v>
      </c>
      <c r="N119" s="43">
        <f>EO!N119+Finance!N119+HR!N119+Security!N119+IT!N119</f>
        <v>0</v>
      </c>
      <c r="O119" s="43">
        <f>EO!O119+Finance!O119+HR!O119+Security!O119+IT!O119</f>
        <v>0</v>
      </c>
      <c r="P119" s="43">
        <f>EO!P119+Finance!P119+HR!P119+Security!P119+IT!P119</f>
        <v>0</v>
      </c>
      <c r="Q119" s="3">
        <f t="shared" si="5"/>
        <v>0</v>
      </c>
      <c r="R119" s="39">
        <f>Q119/Summary!$Q$16</f>
        <v>0</v>
      </c>
      <c r="S119" s="39"/>
      <c r="T119" s="35"/>
      <c r="U119" s="40">
        <f t="shared" si="6"/>
        <v>0</v>
      </c>
    </row>
    <row r="120" spans="1:21" s="3" customFormat="1" ht="25.4" hidden="1" customHeight="1">
      <c r="A120" s="3" t="s">
        <v>924</v>
      </c>
      <c r="B120" s="3" t="s">
        <v>51</v>
      </c>
      <c r="D120" s="26" t="s">
        <v>925</v>
      </c>
      <c r="E120" s="43">
        <f>EO!E120+Finance!E120+HR!E120+Security!E120+IT!E120</f>
        <v>0</v>
      </c>
      <c r="F120" s="43">
        <f>EO!F120+Finance!F120+HR!F120+Security!F120+IT!F120</f>
        <v>0</v>
      </c>
      <c r="G120" s="43">
        <f>EO!G120+Finance!G120+HR!G120+Security!G120+IT!G120</f>
        <v>0</v>
      </c>
      <c r="H120" s="43">
        <f>EO!H120+Finance!H120+HR!H120+Security!H120+IT!H120</f>
        <v>0</v>
      </c>
      <c r="I120" s="43">
        <f>EO!I120+Finance!I120+HR!I120+Security!I120+IT!I120</f>
        <v>0</v>
      </c>
      <c r="J120" s="43">
        <f>EO!J120+Finance!J120+HR!J120+Security!J120+IT!J120</f>
        <v>0</v>
      </c>
      <c r="K120" s="43">
        <f>EO!K120+Finance!K120+HR!K120+Security!K120+IT!K120</f>
        <v>0</v>
      </c>
      <c r="L120" s="43">
        <f>EO!L120+Finance!L120+HR!L120+Security!L120+IT!L120</f>
        <v>0</v>
      </c>
      <c r="M120" s="43">
        <f>EO!M120+Finance!M120+HR!M120+Security!M120+IT!M120</f>
        <v>0</v>
      </c>
      <c r="N120" s="43">
        <f>EO!N120+Finance!N120+HR!N120+Security!N120+IT!N120</f>
        <v>0</v>
      </c>
      <c r="O120" s="43">
        <f>EO!O120+Finance!O120+HR!O120+Security!O120+IT!O120</f>
        <v>0</v>
      </c>
      <c r="P120" s="43">
        <f>EO!P120+Finance!P120+HR!P120+Security!P120+IT!P120</f>
        <v>0</v>
      </c>
      <c r="Q120" s="3">
        <f t="shared" si="5"/>
        <v>0</v>
      </c>
      <c r="R120" s="39">
        <f>Q120/Summary!$Q$16</f>
        <v>0</v>
      </c>
      <c r="S120" s="39"/>
      <c r="T120" s="35"/>
      <c r="U120" s="40">
        <f t="shared" si="6"/>
        <v>0</v>
      </c>
    </row>
    <row r="121" spans="1:21" s="3" customFormat="1" ht="25.4" hidden="1" customHeight="1">
      <c r="A121" s="3" t="s">
        <v>926</v>
      </c>
      <c r="B121" s="3" t="s">
        <v>51</v>
      </c>
      <c r="D121" s="26" t="s">
        <v>927</v>
      </c>
      <c r="E121" s="43">
        <f>EO!E121+Finance!E121+HR!E121+Security!E121+IT!E121</f>
        <v>0</v>
      </c>
      <c r="F121" s="43">
        <f>EO!F121+Finance!F121+HR!F121+Security!F121+IT!F121</f>
        <v>0</v>
      </c>
      <c r="G121" s="43">
        <f>EO!G121+Finance!G121+HR!G121+Security!G121+IT!G121</f>
        <v>0</v>
      </c>
      <c r="H121" s="43">
        <f>EO!H121+Finance!H121+HR!H121+Security!H121+IT!H121</f>
        <v>0</v>
      </c>
      <c r="I121" s="43">
        <f>EO!I121+Finance!I121+HR!I121+Security!I121+IT!I121</f>
        <v>0</v>
      </c>
      <c r="J121" s="43">
        <f>EO!J121+Finance!J121+HR!J121+Security!J121+IT!J121</f>
        <v>0</v>
      </c>
      <c r="K121" s="43">
        <f>EO!K121+Finance!K121+HR!K121+Security!K121+IT!K121</f>
        <v>0</v>
      </c>
      <c r="L121" s="43">
        <f>EO!L121+Finance!L121+HR!L121+Security!L121+IT!L121</f>
        <v>0</v>
      </c>
      <c r="M121" s="43">
        <f>EO!M121+Finance!M121+HR!M121+Security!M121+IT!M121</f>
        <v>0</v>
      </c>
      <c r="N121" s="43">
        <f>EO!N121+Finance!N121+HR!N121+Security!N121+IT!N121</f>
        <v>0</v>
      </c>
      <c r="O121" s="43">
        <f>EO!O121+Finance!O121+HR!O121+Security!O121+IT!O121</f>
        <v>0</v>
      </c>
      <c r="P121" s="43">
        <f>EO!P121+Finance!P121+HR!P121+Security!P121+IT!P121</f>
        <v>0</v>
      </c>
      <c r="Q121" s="3">
        <f t="shared" si="5"/>
        <v>0</v>
      </c>
      <c r="R121" s="39">
        <f>Q121/Summary!$Q$16</f>
        <v>0</v>
      </c>
      <c r="S121" s="39"/>
      <c r="T121" s="35"/>
      <c r="U121" s="40">
        <f t="shared" si="6"/>
        <v>0</v>
      </c>
    </row>
    <row r="122" spans="1:21" s="3" customFormat="1" ht="25.4" hidden="1" customHeight="1">
      <c r="A122" s="3" t="s">
        <v>928</v>
      </c>
      <c r="B122" s="3" t="s">
        <v>51</v>
      </c>
      <c r="D122" s="26" t="s">
        <v>929</v>
      </c>
      <c r="E122" s="43">
        <f>EO!E122+Finance!E122+HR!E122+Security!E122+IT!E122</f>
        <v>0</v>
      </c>
      <c r="F122" s="43">
        <f>EO!F122+Finance!F122+HR!F122+Security!F122+IT!F122</f>
        <v>0</v>
      </c>
      <c r="G122" s="43">
        <f>EO!G122+Finance!G122+HR!G122+Security!G122+IT!G122</f>
        <v>0</v>
      </c>
      <c r="H122" s="43">
        <f>EO!H122+Finance!H122+HR!H122+Security!H122+IT!H122</f>
        <v>0</v>
      </c>
      <c r="I122" s="43">
        <f>EO!I122+Finance!I122+HR!I122+Security!I122+IT!I122</f>
        <v>0</v>
      </c>
      <c r="J122" s="43">
        <f>EO!J122+Finance!J122+HR!J122+Security!J122+IT!J122</f>
        <v>0</v>
      </c>
      <c r="K122" s="43">
        <f>EO!K122+Finance!K122+HR!K122+Security!K122+IT!K122</f>
        <v>0</v>
      </c>
      <c r="L122" s="43">
        <f>EO!L122+Finance!L122+HR!L122+Security!L122+IT!L122</f>
        <v>0</v>
      </c>
      <c r="M122" s="43">
        <f>EO!M122+Finance!M122+HR!M122+Security!M122+IT!M122</f>
        <v>0</v>
      </c>
      <c r="N122" s="43">
        <f>EO!N122+Finance!N122+HR!N122+Security!N122+IT!N122</f>
        <v>0</v>
      </c>
      <c r="O122" s="43">
        <f>EO!O122+Finance!O122+HR!O122+Security!O122+IT!O122</f>
        <v>0</v>
      </c>
      <c r="P122" s="43">
        <f>EO!P122+Finance!P122+HR!P122+Security!P122+IT!P122</f>
        <v>0</v>
      </c>
      <c r="Q122" s="3">
        <f t="shared" si="5"/>
        <v>0</v>
      </c>
      <c r="R122" s="39">
        <f>Q122/Summary!$Q$16</f>
        <v>0</v>
      </c>
      <c r="S122" s="39"/>
      <c r="T122" s="35"/>
      <c r="U122" s="40">
        <f t="shared" si="6"/>
        <v>0</v>
      </c>
    </row>
    <row r="123" spans="1:21" s="3" customFormat="1" ht="25.4" hidden="1" customHeight="1">
      <c r="A123" s="3" t="s">
        <v>930</v>
      </c>
      <c r="B123" s="3" t="s">
        <v>51</v>
      </c>
      <c r="D123" s="26" t="s">
        <v>931</v>
      </c>
      <c r="E123" s="43">
        <f>EO!E123+Finance!E123+HR!E123+Security!E123+IT!E123</f>
        <v>0</v>
      </c>
      <c r="F123" s="43">
        <f>EO!F123+Finance!F123+HR!F123+Security!F123+IT!F123</f>
        <v>0</v>
      </c>
      <c r="G123" s="43">
        <f>EO!G123+Finance!G123+HR!G123+Security!G123+IT!G123</f>
        <v>0</v>
      </c>
      <c r="H123" s="43">
        <f>EO!H123+Finance!H123+HR!H123+Security!H123+IT!H123</f>
        <v>0</v>
      </c>
      <c r="I123" s="43">
        <f>EO!I123+Finance!I123+HR!I123+Security!I123+IT!I123</f>
        <v>0</v>
      </c>
      <c r="J123" s="43">
        <f>EO!J123+Finance!J123+HR!J123+Security!J123+IT!J123</f>
        <v>0</v>
      </c>
      <c r="K123" s="43">
        <f>EO!K123+Finance!K123+HR!K123+Security!K123+IT!K123</f>
        <v>0</v>
      </c>
      <c r="L123" s="43">
        <f>EO!L123+Finance!L123+HR!L123+Security!L123+IT!L123</f>
        <v>0</v>
      </c>
      <c r="M123" s="43">
        <f>EO!M123+Finance!M123+HR!M123+Security!M123+IT!M123</f>
        <v>0</v>
      </c>
      <c r="N123" s="43">
        <f>EO!N123+Finance!N123+HR!N123+Security!N123+IT!N123</f>
        <v>0</v>
      </c>
      <c r="O123" s="43">
        <f>EO!O123+Finance!O123+HR!O123+Security!O123+IT!O123</f>
        <v>0</v>
      </c>
      <c r="P123" s="43">
        <f>EO!P123+Finance!P123+HR!P123+Security!P123+IT!P123</f>
        <v>0</v>
      </c>
      <c r="Q123" s="3">
        <f t="shared" si="5"/>
        <v>0</v>
      </c>
      <c r="R123" s="39">
        <f>Q123/Summary!$Q$16</f>
        <v>0</v>
      </c>
      <c r="S123" s="39"/>
      <c r="T123" s="35"/>
      <c r="U123" s="40">
        <f t="shared" si="6"/>
        <v>0</v>
      </c>
    </row>
    <row r="124" spans="1:21" s="3" customFormat="1" ht="25.4" hidden="1" customHeight="1">
      <c r="A124" s="3" t="s">
        <v>932</v>
      </c>
      <c r="B124" s="3" t="s">
        <v>51</v>
      </c>
      <c r="D124" s="26" t="s">
        <v>933</v>
      </c>
      <c r="E124" s="43">
        <f>EO!E124+Finance!E124+HR!E124+Security!E124+IT!E124</f>
        <v>0</v>
      </c>
      <c r="F124" s="43">
        <f>EO!F124+Finance!F124+HR!F124+Security!F124+IT!F124</f>
        <v>0</v>
      </c>
      <c r="G124" s="43">
        <f>EO!G124+Finance!G124+HR!G124+Security!G124+IT!G124</f>
        <v>0</v>
      </c>
      <c r="H124" s="43">
        <f>EO!H124+Finance!H124+HR!H124+Security!H124+IT!H124</f>
        <v>0</v>
      </c>
      <c r="I124" s="43">
        <f>EO!I124+Finance!I124+HR!I124+Security!I124+IT!I124</f>
        <v>0</v>
      </c>
      <c r="J124" s="43">
        <f>EO!J124+Finance!J124+HR!J124+Security!J124+IT!J124</f>
        <v>0</v>
      </c>
      <c r="K124" s="43">
        <f>EO!K124+Finance!K124+HR!K124+Security!K124+IT!K124</f>
        <v>0</v>
      </c>
      <c r="L124" s="43">
        <f>EO!L124+Finance!L124+HR!L124+Security!L124+IT!L124</f>
        <v>0</v>
      </c>
      <c r="M124" s="43">
        <f>EO!M124+Finance!M124+HR!M124+Security!M124+IT!M124</f>
        <v>0</v>
      </c>
      <c r="N124" s="43">
        <f>EO!N124+Finance!N124+HR!N124+Security!N124+IT!N124</f>
        <v>0</v>
      </c>
      <c r="O124" s="43">
        <f>EO!O124+Finance!O124+HR!O124+Security!O124+IT!O124</f>
        <v>0</v>
      </c>
      <c r="P124" s="43">
        <f>EO!P124+Finance!P124+HR!P124+Security!P124+IT!P124</f>
        <v>0</v>
      </c>
      <c r="Q124" s="3">
        <f t="shared" si="5"/>
        <v>0</v>
      </c>
      <c r="R124" s="39">
        <f>Q124/Summary!$Q$16</f>
        <v>0</v>
      </c>
      <c r="S124" s="39"/>
      <c r="T124" s="35"/>
      <c r="U124" s="40">
        <f t="shared" si="6"/>
        <v>0</v>
      </c>
    </row>
    <row r="125" spans="1:21" s="3" customFormat="1" ht="25.4" hidden="1" customHeight="1">
      <c r="A125" s="3" t="s">
        <v>934</v>
      </c>
      <c r="B125" s="3" t="s">
        <v>51</v>
      </c>
      <c r="D125" s="26" t="s">
        <v>935</v>
      </c>
      <c r="E125" s="43">
        <f>EO!E125+Finance!E125+HR!E125+Security!E125+IT!E125</f>
        <v>0</v>
      </c>
      <c r="F125" s="43">
        <f>EO!F125+Finance!F125+HR!F125+Security!F125+IT!F125</f>
        <v>0</v>
      </c>
      <c r="G125" s="43">
        <f>EO!G125+Finance!G125+HR!G125+Security!G125+IT!G125</f>
        <v>0</v>
      </c>
      <c r="H125" s="43">
        <f>EO!H125+Finance!H125+HR!H125+Security!H125+IT!H125</f>
        <v>0</v>
      </c>
      <c r="I125" s="43">
        <f>EO!I125+Finance!I125+HR!I125+Security!I125+IT!I125</f>
        <v>0</v>
      </c>
      <c r="J125" s="43">
        <f>EO!J125+Finance!J125+HR!J125+Security!J125+IT!J125</f>
        <v>0</v>
      </c>
      <c r="K125" s="43">
        <f>EO!K125+Finance!K125+HR!K125+Security!K125+IT!K125</f>
        <v>0</v>
      </c>
      <c r="L125" s="43">
        <f>EO!L125+Finance!L125+HR!L125+Security!L125+IT!L125</f>
        <v>0</v>
      </c>
      <c r="M125" s="43">
        <f>EO!M125+Finance!M125+HR!M125+Security!M125+IT!M125</f>
        <v>0</v>
      </c>
      <c r="N125" s="43">
        <f>EO!N125+Finance!N125+HR!N125+Security!N125+IT!N125</f>
        <v>0</v>
      </c>
      <c r="O125" s="43">
        <f>EO!O125+Finance!O125+HR!O125+Security!O125+IT!O125</f>
        <v>0</v>
      </c>
      <c r="P125" s="43">
        <f>EO!P125+Finance!P125+HR!P125+Security!P125+IT!P125</f>
        <v>0</v>
      </c>
      <c r="Q125" s="3">
        <f t="shared" si="5"/>
        <v>0</v>
      </c>
      <c r="R125" s="39">
        <f>Q125/Summary!$Q$16</f>
        <v>0</v>
      </c>
      <c r="S125" s="39"/>
      <c r="T125" s="35"/>
      <c r="U125" s="40">
        <f t="shared" ref="U125:U156" si="7">-IF(Q125-T125=0,0,(Q125-T125)/T125)</f>
        <v>0</v>
      </c>
    </row>
    <row r="126" spans="1:21" s="3" customFormat="1" ht="25.4" hidden="1" customHeight="1">
      <c r="A126" s="3" t="s">
        <v>936</v>
      </c>
      <c r="B126" s="3" t="s">
        <v>51</v>
      </c>
      <c r="D126" s="26" t="s">
        <v>937</v>
      </c>
      <c r="E126" s="43">
        <f>EO!E126+Finance!E126+HR!E126+Security!E126+IT!E126</f>
        <v>0</v>
      </c>
      <c r="F126" s="43">
        <f>EO!F126+Finance!F126+HR!F126+Security!F126+IT!F126</f>
        <v>0</v>
      </c>
      <c r="G126" s="43">
        <f>EO!G126+Finance!G126+HR!G126+Security!G126+IT!G126</f>
        <v>0</v>
      </c>
      <c r="H126" s="43">
        <f>EO!H126+Finance!H126+HR!H126+Security!H126+IT!H126</f>
        <v>0</v>
      </c>
      <c r="I126" s="43">
        <f>EO!I126+Finance!I126+HR!I126+Security!I126+IT!I126</f>
        <v>0</v>
      </c>
      <c r="J126" s="43">
        <f>EO!J126+Finance!J126+HR!J126+Security!J126+IT!J126</f>
        <v>0</v>
      </c>
      <c r="K126" s="43">
        <f>EO!K126+Finance!K126+HR!K126+Security!K126+IT!K126</f>
        <v>0</v>
      </c>
      <c r="L126" s="43">
        <f>EO!L126+Finance!L126+HR!L126+Security!L126+IT!L126</f>
        <v>0</v>
      </c>
      <c r="M126" s="43">
        <f>EO!M126+Finance!M126+HR!M126+Security!M126+IT!M126</f>
        <v>0</v>
      </c>
      <c r="N126" s="43">
        <f>EO!N126+Finance!N126+HR!N126+Security!N126+IT!N126</f>
        <v>0</v>
      </c>
      <c r="O126" s="43">
        <f>EO!O126+Finance!O126+HR!O126+Security!O126+IT!O126</f>
        <v>0</v>
      </c>
      <c r="P126" s="43">
        <f>EO!P126+Finance!P126+HR!P126+Security!P126+IT!P126</f>
        <v>0</v>
      </c>
      <c r="Q126" s="3">
        <f t="shared" si="5"/>
        <v>0</v>
      </c>
      <c r="R126" s="39">
        <f>Q126/Summary!$Q$16</f>
        <v>0</v>
      </c>
      <c r="S126" s="39"/>
      <c r="T126" s="35"/>
      <c r="U126" s="40">
        <f t="shared" si="7"/>
        <v>0</v>
      </c>
    </row>
    <row r="127" spans="1:21" s="3" customFormat="1" ht="25.4" hidden="1" customHeight="1">
      <c r="A127" s="3" t="s">
        <v>938</v>
      </c>
      <c r="B127" s="3" t="s">
        <v>51</v>
      </c>
      <c r="D127" s="26" t="s">
        <v>939</v>
      </c>
      <c r="E127" s="43">
        <f>EO!E127+Finance!E127+HR!E127+Security!E127+IT!E127</f>
        <v>0</v>
      </c>
      <c r="F127" s="43">
        <f>EO!F127+Finance!F127+HR!F127+Security!F127+IT!F127</f>
        <v>0</v>
      </c>
      <c r="G127" s="43">
        <f>EO!G127+Finance!G127+HR!G127+Security!G127+IT!G127</f>
        <v>0</v>
      </c>
      <c r="H127" s="43">
        <f>EO!H127+Finance!H127+HR!H127+Security!H127+IT!H127</f>
        <v>0</v>
      </c>
      <c r="I127" s="43">
        <f>EO!I127+Finance!I127+HR!I127+Security!I127+IT!I127</f>
        <v>0</v>
      </c>
      <c r="J127" s="43">
        <f>EO!J127+Finance!J127+HR!J127+Security!J127+IT!J127</f>
        <v>0</v>
      </c>
      <c r="K127" s="43">
        <f>EO!K127+Finance!K127+HR!K127+Security!K127+IT!K127</f>
        <v>0</v>
      </c>
      <c r="L127" s="43">
        <f>EO!L127+Finance!L127+HR!L127+Security!L127+IT!L127</f>
        <v>0</v>
      </c>
      <c r="M127" s="43">
        <f>EO!M127+Finance!M127+HR!M127+Security!M127+IT!M127</f>
        <v>0</v>
      </c>
      <c r="N127" s="43">
        <f>EO!N127+Finance!N127+HR!N127+Security!N127+IT!N127</f>
        <v>0</v>
      </c>
      <c r="O127" s="43">
        <f>EO!O127+Finance!O127+HR!O127+Security!O127+IT!O127</f>
        <v>0</v>
      </c>
      <c r="P127" s="43">
        <f>EO!P127+Finance!P127+HR!P127+Security!P127+IT!P127</f>
        <v>0</v>
      </c>
      <c r="Q127" s="3">
        <f t="shared" si="5"/>
        <v>0</v>
      </c>
      <c r="R127" s="39">
        <f>Q127/Summary!$Q$16</f>
        <v>0</v>
      </c>
      <c r="S127" s="39"/>
      <c r="T127" s="35"/>
      <c r="U127" s="40">
        <f t="shared" si="7"/>
        <v>0</v>
      </c>
    </row>
    <row r="128" spans="1:21" s="3" customFormat="1" ht="25.4" hidden="1" customHeight="1">
      <c r="A128" s="3" t="s">
        <v>940</v>
      </c>
      <c r="B128" s="3" t="s">
        <v>51</v>
      </c>
      <c r="D128" s="26" t="s">
        <v>941</v>
      </c>
      <c r="E128" s="43">
        <f>EO!E128+Finance!E128+HR!E128+Security!E128+IT!E128</f>
        <v>0</v>
      </c>
      <c r="F128" s="43">
        <f>EO!F128+Finance!F128+HR!F128+Security!F128+IT!F128</f>
        <v>0</v>
      </c>
      <c r="G128" s="43">
        <f>EO!G128+Finance!G128+HR!G128+Security!G128+IT!G128</f>
        <v>0</v>
      </c>
      <c r="H128" s="43">
        <f>EO!H128+Finance!H128+HR!H128+Security!H128+IT!H128</f>
        <v>0</v>
      </c>
      <c r="I128" s="43">
        <f>EO!I128+Finance!I128+HR!I128+Security!I128+IT!I128</f>
        <v>0</v>
      </c>
      <c r="J128" s="43">
        <f>EO!J128+Finance!J128+HR!J128+Security!J128+IT!J128</f>
        <v>0</v>
      </c>
      <c r="K128" s="43">
        <f>EO!K128+Finance!K128+HR!K128+Security!K128+IT!K128</f>
        <v>0</v>
      </c>
      <c r="L128" s="43">
        <f>EO!L128+Finance!L128+HR!L128+Security!L128+IT!L128</f>
        <v>0</v>
      </c>
      <c r="M128" s="43">
        <f>EO!M128+Finance!M128+HR!M128+Security!M128+IT!M128</f>
        <v>0</v>
      </c>
      <c r="N128" s="43">
        <f>EO!N128+Finance!N128+HR!N128+Security!N128+IT!N128</f>
        <v>0</v>
      </c>
      <c r="O128" s="43">
        <f>EO!O128+Finance!O128+HR!O128+Security!O128+IT!O128</f>
        <v>0</v>
      </c>
      <c r="P128" s="43">
        <f>EO!P128+Finance!P128+HR!P128+Security!P128+IT!P128</f>
        <v>0</v>
      </c>
      <c r="Q128" s="3">
        <f t="shared" si="5"/>
        <v>0</v>
      </c>
      <c r="R128" s="39">
        <f>Q128/Summary!$Q$16</f>
        <v>0</v>
      </c>
      <c r="S128" s="39"/>
      <c r="T128" s="35"/>
      <c r="U128" s="40">
        <f t="shared" si="7"/>
        <v>0</v>
      </c>
    </row>
    <row r="129" spans="1:21" s="3" customFormat="1" ht="25.4" hidden="1" customHeight="1">
      <c r="A129" s="3" t="s">
        <v>942</v>
      </c>
      <c r="B129" s="3" t="s">
        <v>51</v>
      </c>
      <c r="D129" s="26" t="s">
        <v>943</v>
      </c>
      <c r="E129" s="43">
        <f>EO!E129+Finance!E129+HR!E129+Security!E129+IT!E129</f>
        <v>0</v>
      </c>
      <c r="F129" s="43">
        <f>EO!F129+Finance!F129+HR!F129+Security!F129+IT!F129</f>
        <v>0</v>
      </c>
      <c r="G129" s="43">
        <f>EO!G129+Finance!G129+HR!G129+Security!G129+IT!G129</f>
        <v>0</v>
      </c>
      <c r="H129" s="43">
        <f>EO!H129+Finance!H129+HR!H129+Security!H129+IT!H129</f>
        <v>0</v>
      </c>
      <c r="I129" s="43">
        <f>EO!I129+Finance!I129+HR!I129+Security!I129+IT!I129</f>
        <v>0</v>
      </c>
      <c r="J129" s="43">
        <f>EO!J129+Finance!J129+HR!J129+Security!J129+IT!J129</f>
        <v>0</v>
      </c>
      <c r="K129" s="43">
        <f>EO!K129+Finance!K129+HR!K129+Security!K129+IT!K129</f>
        <v>0</v>
      </c>
      <c r="L129" s="43">
        <f>EO!L129+Finance!L129+HR!L129+Security!L129+IT!L129</f>
        <v>0</v>
      </c>
      <c r="M129" s="43">
        <f>EO!M129+Finance!M129+HR!M129+Security!M129+IT!M129</f>
        <v>0</v>
      </c>
      <c r="N129" s="43">
        <f>EO!N129+Finance!N129+HR!N129+Security!N129+IT!N129</f>
        <v>0</v>
      </c>
      <c r="O129" s="43">
        <f>EO!O129+Finance!O129+HR!O129+Security!O129+IT!O129</f>
        <v>0</v>
      </c>
      <c r="P129" s="43">
        <f>EO!P129+Finance!P129+HR!P129+Security!P129+IT!P129</f>
        <v>0</v>
      </c>
      <c r="Q129" s="3">
        <f t="shared" si="5"/>
        <v>0</v>
      </c>
      <c r="R129" s="39">
        <f>Q129/Summary!$Q$16</f>
        <v>0</v>
      </c>
      <c r="S129" s="39"/>
      <c r="T129" s="35"/>
      <c r="U129" s="40">
        <f t="shared" si="7"/>
        <v>0</v>
      </c>
    </row>
    <row r="130" spans="1:21" s="3" customFormat="1" ht="25.4" hidden="1" customHeight="1">
      <c r="A130" s="3" t="s">
        <v>944</v>
      </c>
      <c r="B130" s="3" t="s">
        <v>51</v>
      </c>
      <c r="D130" s="26" t="s">
        <v>945</v>
      </c>
      <c r="E130" s="43">
        <f>EO!E130+Finance!E130+HR!E130+Security!E130+IT!E130</f>
        <v>0</v>
      </c>
      <c r="F130" s="43">
        <f>EO!F130+Finance!F130+HR!F130+Security!F130+IT!F130</f>
        <v>0</v>
      </c>
      <c r="G130" s="43">
        <f>EO!G130+Finance!G130+HR!G130+Security!G130+IT!G130</f>
        <v>0</v>
      </c>
      <c r="H130" s="43">
        <f>EO!H130+Finance!H130+HR!H130+Security!H130+IT!H130</f>
        <v>0</v>
      </c>
      <c r="I130" s="43">
        <f>EO!I130+Finance!I130+HR!I130+Security!I130+IT!I130</f>
        <v>0</v>
      </c>
      <c r="J130" s="43">
        <f>EO!J130+Finance!J130+HR!J130+Security!J130+IT!J130</f>
        <v>0</v>
      </c>
      <c r="K130" s="43">
        <f>EO!K130+Finance!K130+HR!K130+Security!K130+IT!K130</f>
        <v>0</v>
      </c>
      <c r="L130" s="43">
        <f>EO!L130+Finance!L130+HR!L130+Security!L130+IT!L130</f>
        <v>0</v>
      </c>
      <c r="M130" s="43">
        <f>EO!M130+Finance!M130+HR!M130+Security!M130+IT!M130</f>
        <v>0</v>
      </c>
      <c r="N130" s="43">
        <f>EO!N130+Finance!N130+HR!N130+Security!N130+IT!N130</f>
        <v>0</v>
      </c>
      <c r="O130" s="43">
        <f>EO!O130+Finance!O130+HR!O130+Security!O130+IT!O130</f>
        <v>0</v>
      </c>
      <c r="P130" s="43">
        <f>EO!P130+Finance!P130+HR!P130+Security!P130+IT!P130</f>
        <v>0</v>
      </c>
      <c r="Q130" s="3">
        <f t="shared" si="5"/>
        <v>0</v>
      </c>
      <c r="R130" s="39">
        <f>Q130/Summary!$Q$16</f>
        <v>0</v>
      </c>
      <c r="S130" s="39"/>
      <c r="T130" s="35"/>
      <c r="U130" s="40">
        <f t="shared" si="7"/>
        <v>0</v>
      </c>
    </row>
    <row r="131" spans="1:21" s="3" customFormat="1" ht="25.4" hidden="1" customHeight="1">
      <c r="A131" s="3" t="s">
        <v>946</v>
      </c>
      <c r="B131" s="3" t="s">
        <v>51</v>
      </c>
      <c r="D131" s="26" t="s">
        <v>947</v>
      </c>
      <c r="E131" s="43">
        <f>EO!E131+Finance!E131+HR!E131+Security!E131+IT!E131</f>
        <v>0</v>
      </c>
      <c r="F131" s="43">
        <f>EO!F131+Finance!F131+HR!F131+Security!F131+IT!F131</f>
        <v>0</v>
      </c>
      <c r="G131" s="43">
        <f>EO!G131+Finance!G131+HR!G131+Security!G131+IT!G131</f>
        <v>0</v>
      </c>
      <c r="H131" s="43">
        <f>EO!H131+Finance!H131+HR!H131+Security!H131+IT!H131</f>
        <v>0</v>
      </c>
      <c r="I131" s="43">
        <f>EO!I131+Finance!I131+HR!I131+Security!I131+IT!I131</f>
        <v>0</v>
      </c>
      <c r="J131" s="43">
        <f>EO!J131+Finance!J131+HR!J131+Security!J131+IT!J131</f>
        <v>0</v>
      </c>
      <c r="K131" s="43">
        <f>EO!K131+Finance!K131+HR!K131+Security!K131+IT!K131</f>
        <v>0</v>
      </c>
      <c r="L131" s="43">
        <f>EO!L131+Finance!L131+HR!L131+Security!L131+IT!L131</f>
        <v>0</v>
      </c>
      <c r="M131" s="43">
        <f>EO!M131+Finance!M131+HR!M131+Security!M131+IT!M131</f>
        <v>0</v>
      </c>
      <c r="N131" s="43">
        <f>EO!N131+Finance!N131+HR!N131+Security!N131+IT!N131</f>
        <v>0</v>
      </c>
      <c r="O131" s="43">
        <f>EO!O131+Finance!O131+HR!O131+Security!O131+IT!O131</f>
        <v>0</v>
      </c>
      <c r="P131" s="43">
        <f>EO!P131+Finance!P131+HR!P131+Security!P131+IT!P131</f>
        <v>0</v>
      </c>
      <c r="Q131" s="3">
        <f t="shared" si="5"/>
        <v>0</v>
      </c>
      <c r="R131" s="39">
        <f>Q131/Summary!$Q$16</f>
        <v>0</v>
      </c>
      <c r="S131" s="39"/>
      <c r="T131" s="35"/>
      <c r="U131" s="40">
        <f t="shared" si="7"/>
        <v>0</v>
      </c>
    </row>
    <row r="132" spans="1:21" s="3" customFormat="1" ht="25.4" hidden="1" customHeight="1">
      <c r="A132" s="3" t="s">
        <v>948</v>
      </c>
      <c r="B132" s="3" t="s">
        <v>51</v>
      </c>
      <c r="D132" s="26" t="s">
        <v>949</v>
      </c>
      <c r="E132" s="43">
        <f>EO!E132+Finance!E132+HR!E132+Security!E132+IT!E132</f>
        <v>0</v>
      </c>
      <c r="F132" s="43">
        <f>EO!F132+Finance!F132+HR!F132+Security!F132+IT!F132</f>
        <v>0</v>
      </c>
      <c r="G132" s="43">
        <f>EO!G132+Finance!G132+HR!G132+Security!G132+IT!G132</f>
        <v>0</v>
      </c>
      <c r="H132" s="43">
        <f>EO!H132+Finance!H132+HR!H132+Security!H132+IT!H132</f>
        <v>0</v>
      </c>
      <c r="I132" s="43">
        <f>EO!I132+Finance!I132+HR!I132+Security!I132+IT!I132</f>
        <v>0</v>
      </c>
      <c r="J132" s="43">
        <f>EO!J132+Finance!J132+HR!J132+Security!J132+IT!J132</f>
        <v>0</v>
      </c>
      <c r="K132" s="43">
        <f>EO!K132+Finance!K132+HR!K132+Security!K132+IT!K132</f>
        <v>0</v>
      </c>
      <c r="L132" s="43">
        <f>EO!L132+Finance!L132+HR!L132+Security!L132+IT!L132</f>
        <v>0</v>
      </c>
      <c r="M132" s="43">
        <f>EO!M132+Finance!M132+HR!M132+Security!M132+IT!M132</f>
        <v>0</v>
      </c>
      <c r="N132" s="43">
        <f>EO!N132+Finance!N132+HR!N132+Security!N132+IT!N132</f>
        <v>0</v>
      </c>
      <c r="O132" s="43">
        <f>EO!O132+Finance!O132+HR!O132+Security!O132+IT!O132</f>
        <v>0</v>
      </c>
      <c r="P132" s="43">
        <f>EO!P132+Finance!P132+HR!P132+Security!P132+IT!P132</f>
        <v>0</v>
      </c>
      <c r="Q132" s="3">
        <f t="shared" si="5"/>
        <v>0</v>
      </c>
      <c r="R132" s="39">
        <f>Q132/Summary!$Q$16</f>
        <v>0</v>
      </c>
      <c r="S132" s="39"/>
      <c r="T132" s="35"/>
      <c r="U132" s="40">
        <f t="shared" si="7"/>
        <v>0</v>
      </c>
    </row>
    <row r="133" spans="1:21" s="3" customFormat="1" ht="25.4" hidden="1" customHeight="1">
      <c r="A133" s="3" t="s">
        <v>950</v>
      </c>
      <c r="B133" s="3" t="s">
        <v>51</v>
      </c>
      <c r="D133" s="26" t="s">
        <v>951</v>
      </c>
      <c r="E133" s="43">
        <f>EO!E133+Finance!E133+HR!E133+Security!E133+IT!E133</f>
        <v>0</v>
      </c>
      <c r="F133" s="43">
        <f>EO!F133+Finance!F133+HR!F133+Security!F133+IT!F133</f>
        <v>0</v>
      </c>
      <c r="G133" s="43">
        <f>EO!G133+Finance!G133+HR!G133+Security!G133+IT!G133</f>
        <v>0</v>
      </c>
      <c r="H133" s="43">
        <f>EO!H133+Finance!H133+HR!H133+Security!H133+IT!H133</f>
        <v>0</v>
      </c>
      <c r="I133" s="43">
        <f>EO!I133+Finance!I133+HR!I133+Security!I133+IT!I133</f>
        <v>0</v>
      </c>
      <c r="J133" s="43">
        <f>EO!J133+Finance!J133+HR!J133+Security!J133+IT!J133</f>
        <v>0</v>
      </c>
      <c r="K133" s="43">
        <f>EO!K133+Finance!K133+HR!K133+Security!K133+IT!K133</f>
        <v>0</v>
      </c>
      <c r="L133" s="43">
        <f>EO!L133+Finance!L133+HR!L133+Security!L133+IT!L133</f>
        <v>0</v>
      </c>
      <c r="M133" s="43">
        <f>EO!M133+Finance!M133+HR!M133+Security!M133+IT!M133</f>
        <v>0</v>
      </c>
      <c r="N133" s="43">
        <f>EO!N133+Finance!N133+HR!N133+Security!N133+IT!N133</f>
        <v>0</v>
      </c>
      <c r="O133" s="43">
        <f>EO!O133+Finance!O133+HR!O133+Security!O133+IT!O133</f>
        <v>0</v>
      </c>
      <c r="P133" s="43">
        <f>EO!P133+Finance!P133+HR!P133+Security!P133+IT!P133</f>
        <v>0</v>
      </c>
      <c r="Q133" s="3">
        <f t="shared" si="5"/>
        <v>0</v>
      </c>
      <c r="R133" s="39">
        <f>Q133/Summary!$Q$16</f>
        <v>0</v>
      </c>
      <c r="S133" s="39"/>
      <c r="T133" s="35"/>
      <c r="U133" s="40">
        <f t="shared" si="7"/>
        <v>0</v>
      </c>
    </row>
    <row r="134" spans="1:21" s="3" customFormat="1" ht="25.4" hidden="1" customHeight="1">
      <c r="A134" s="3" t="s">
        <v>952</v>
      </c>
      <c r="B134" s="3" t="s">
        <v>51</v>
      </c>
      <c r="D134" s="26" t="s">
        <v>953</v>
      </c>
      <c r="E134" s="43">
        <f>EO!E134+Finance!E134+HR!E134+Security!E134+IT!E134</f>
        <v>0</v>
      </c>
      <c r="F134" s="43">
        <f>EO!F134+Finance!F134+HR!F134+Security!F134+IT!F134</f>
        <v>0</v>
      </c>
      <c r="G134" s="43">
        <f>EO!G134+Finance!G134+HR!G134+Security!G134+IT!G134</f>
        <v>0</v>
      </c>
      <c r="H134" s="43">
        <f>EO!H134+Finance!H134+HR!H134+Security!H134+IT!H134</f>
        <v>0</v>
      </c>
      <c r="I134" s="43">
        <f>EO!I134+Finance!I134+HR!I134+Security!I134+IT!I134</f>
        <v>0</v>
      </c>
      <c r="J134" s="43">
        <f>EO!J134+Finance!J134+HR!J134+Security!J134+IT!J134</f>
        <v>0</v>
      </c>
      <c r="K134" s="43">
        <f>EO!K134+Finance!K134+HR!K134+Security!K134+IT!K134</f>
        <v>0</v>
      </c>
      <c r="L134" s="43">
        <f>EO!L134+Finance!L134+HR!L134+Security!L134+IT!L134</f>
        <v>0</v>
      </c>
      <c r="M134" s="43">
        <f>EO!M134+Finance!M134+HR!M134+Security!M134+IT!M134</f>
        <v>0</v>
      </c>
      <c r="N134" s="43">
        <f>EO!N134+Finance!N134+HR!N134+Security!N134+IT!N134</f>
        <v>0</v>
      </c>
      <c r="O134" s="43">
        <f>EO!O134+Finance!O134+HR!O134+Security!O134+IT!O134</f>
        <v>0</v>
      </c>
      <c r="P134" s="43">
        <f>EO!P134+Finance!P134+HR!P134+Security!P134+IT!P134</f>
        <v>0</v>
      </c>
      <c r="Q134" s="3">
        <f t="shared" si="5"/>
        <v>0</v>
      </c>
      <c r="R134" s="39">
        <f>Q134/Summary!$Q$16</f>
        <v>0</v>
      </c>
      <c r="S134" s="39"/>
      <c r="T134" s="35"/>
      <c r="U134" s="40">
        <f t="shared" si="7"/>
        <v>0</v>
      </c>
    </row>
    <row r="135" spans="1:21" s="3" customFormat="1" ht="25.4" hidden="1" customHeight="1">
      <c r="A135" s="3" t="s">
        <v>954</v>
      </c>
      <c r="B135" s="3" t="s">
        <v>51</v>
      </c>
      <c r="D135" s="26" t="s">
        <v>955</v>
      </c>
      <c r="E135" s="43">
        <f>EO!E135+Finance!E135+HR!E135+Security!E135+IT!E135</f>
        <v>0</v>
      </c>
      <c r="F135" s="43">
        <f>EO!F135+Finance!F135+HR!F135+Security!F135+IT!F135</f>
        <v>0</v>
      </c>
      <c r="G135" s="43">
        <f>EO!G135+Finance!G135+HR!G135+Security!G135+IT!G135</f>
        <v>0</v>
      </c>
      <c r="H135" s="43">
        <f>EO!H135+Finance!H135+HR!H135+Security!H135+IT!H135</f>
        <v>0</v>
      </c>
      <c r="I135" s="43">
        <f>EO!I135+Finance!I135+HR!I135+Security!I135+IT!I135</f>
        <v>0</v>
      </c>
      <c r="J135" s="43">
        <f>EO!J135+Finance!J135+HR!J135+Security!J135+IT!J135</f>
        <v>0</v>
      </c>
      <c r="K135" s="43">
        <f>EO!K135+Finance!K135+HR!K135+Security!K135+IT!K135</f>
        <v>0</v>
      </c>
      <c r="L135" s="43">
        <f>EO!L135+Finance!L135+HR!L135+Security!L135+IT!L135</f>
        <v>0</v>
      </c>
      <c r="M135" s="43">
        <f>EO!M135+Finance!M135+HR!M135+Security!M135+IT!M135</f>
        <v>0</v>
      </c>
      <c r="N135" s="43">
        <f>EO!N135+Finance!N135+HR!N135+Security!N135+IT!N135</f>
        <v>0</v>
      </c>
      <c r="O135" s="43">
        <f>EO!O135+Finance!O135+HR!O135+Security!O135+IT!O135</f>
        <v>0</v>
      </c>
      <c r="P135" s="43">
        <f>EO!P135+Finance!P135+HR!P135+Security!P135+IT!P135</f>
        <v>0</v>
      </c>
      <c r="Q135" s="3">
        <f t="shared" si="5"/>
        <v>0</v>
      </c>
      <c r="R135" s="39">
        <f>Q135/Summary!$Q$16</f>
        <v>0</v>
      </c>
      <c r="S135" s="39"/>
      <c r="T135" s="35"/>
      <c r="U135" s="40">
        <f t="shared" si="7"/>
        <v>0</v>
      </c>
    </row>
    <row r="136" spans="1:21" s="3" customFormat="1" ht="25.4" hidden="1" customHeight="1">
      <c r="A136" s="3" t="s">
        <v>956</v>
      </c>
      <c r="B136" s="3" t="s">
        <v>51</v>
      </c>
      <c r="D136" s="26" t="s">
        <v>957</v>
      </c>
      <c r="E136" s="43">
        <f>EO!E136+Finance!E136+HR!E136+Security!E136+IT!E136</f>
        <v>0</v>
      </c>
      <c r="F136" s="43">
        <f>EO!F136+Finance!F136+HR!F136+Security!F136+IT!F136</f>
        <v>0</v>
      </c>
      <c r="G136" s="43">
        <f>EO!G136+Finance!G136+HR!G136+Security!G136+IT!G136</f>
        <v>0</v>
      </c>
      <c r="H136" s="43">
        <f>EO!H136+Finance!H136+HR!H136+Security!H136+IT!H136</f>
        <v>0</v>
      </c>
      <c r="I136" s="43">
        <f>EO!I136+Finance!I136+HR!I136+Security!I136+IT!I136</f>
        <v>0</v>
      </c>
      <c r="J136" s="43">
        <f>EO!J136+Finance!J136+HR!J136+Security!J136+IT!J136</f>
        <v>0</v>
      </c>
      <c r="K136" s="43">
        <f>EO!K136+Finance!K136+HR!K136+Security!K136+IT!K136</f>
        <v>0</v>
      </c>
      <c r="L136" s="43">
        <f>EO!L136+Finance!L136+HR!L136+Security!L136+IT!L136</f>
        <v>0</v>
      </c>
      <c r="M136" s="43">
        <f>EO!M136+Finance!M136+HR!M136+Security!M136+IT!M136</f>
        <v>0</v>
      </c>
      <c r="N136" s="43">
        <f>EO!N136+Finance!N136+HR!N136+Security!N136+IT!N136</f>
        <v>0</v>
      </c>
      <c r="O136" s="43">
        <f>EO!O136+Finance!O136+HR!O136+Security!O136+IT!O136</f>
        <v>0</v>
      </c>
      <c r="P136" s="43">
        <f>EO!P136+Finance!P136+HR!P136+Security!P136+IT!P136</f>
        <v>0</v>
      </c>
      <c r="Q136" s="3">
        <f t="shared" si="5"/>
        <v>0</v>
      </c>
      <c r="R136" s="39">
        <f>Q136/Summary!$Q$16</f>
        <v>0</v>
      </c>
      <c r="S136" s="39"/>
      <c r="T136" s="35"/>
      <c r="U136" s="40">
        <f t="shared" si="7"/>
        <v>0</v>
      </c>
    </row>
    <row r="137" spans="1:21" s="3" customFormat="1" ht="25.4" hidden="1" customHeight="1">
      <c r="A137" s="3" t="s">
        <v>958</v>
      </c>
      <c r="B137" s="3" t="s">
        <v>51</v>
      </c>
      <c r="D137" s="26" t="s">
        <v>959</v>
      </c>
      <c r="E137" s="43">
        <f>EO!E137+Finance!E137+HR!E137+Security!E137+IT!E137</f>
        <v>0</v>
      </c>
      <c r="F137" s="43">
        <f>EO!F137+Finance!F137+HR!F137+Security!F137+IT!F137</f>
        <v>0</v>
      </c>
      <c r="G137" s="43">
        <f>EO!G137+Finance!G137+HR!G137+Security!G137+IT!G137</f>
        <v>0</v>
      </c>
      <c r="H137" s="43">
        <f>EO!H137+Finance!H137+HR!H137+Security!H137+IT!H137</f>
        <v>0</v>
      </c>
      <c r="I137" s="43">
        <f>EO!I137+Finance!I137+HR!I137+Security!I137+IT!I137</f>
        <v>0</v>
      </c>
      <c r="J137" s="43">
        <f>EO!J137+Finance!J137+HR!J137+Security!J137+IT!J137</f>
        <v>0</v>
      </c>
      <c r="K137" s="43">
        <f>EO!K137+Finance!K137+HR!K137+Security!K137+IT!K137</f>
        <v>0</v>
      </c>
      <c r="L137" s="43">
        <f>EO!L137+Finance!L137+HR!L137+Security!L137+IT!L137</f>
        <v>0</v>
      </c>
      <c r="M137" s="43">
        <f>EO!M137+Finance!M137+HR!M137+Security!M137+IT!M137</f>
        <v>0</v>
      </c>
      <c r="N137" s="43">
        <f>EO!N137+Finance!N137+HR!N137+Security!N137+IT!N137</f>
        <v>0</v>
      </c>
      <c r="O137" s="43">
        <f>EO!O137+Finance!O137+HR!O137+Security!O137+IT!O137</f>
        <v>0</v>
      </c>
      <c r="P137" s="43">
        <f>EO!P137+Finance!P137+HR!P137+Security!P137+IT!P137</f>
        <v>0</v>
      </c>
      <c r="Q137" s="3">
        <f t="shared" si="5"/>
        <v>0</v>
      </c>
      <c r="R137" s="39">
        <f>Q137/Summary!$Q$16</f>
        <v>0</v>
      </c>
      <c r="S137" s="39"/>
      <c r="T137" s="35"/>
      <c r="U137" s="40">
        <f t="shared" si="7"/>
        <v>0</v>
      </c>
    </row>
    <row r="138" spans="1:21" s="3" customFormat="1" ht="25.4" hidden="1" customHeight="1">
      <c r="A138" s="3" t="s">
        <v>960</v>
      </c>
      <c r="B138" s="3" t="s">
        <v>51</v>
      </c>
      <c r="D138" s="26" t="s">
        <v>961</v>
      </c>
      <c r="E138" s="43">
        <f>EO!E138+Finance!E138+HR!E138+Security!E138+IT!E138</f>
        <v>0</v>
      </c>
      <c r="F138" s="43">
        <f>EO!F138+Finance!F138+HR!F138+Security!F138+IT!F138</f>
        <v>0</v>
      </c>
      <c r="G138" s="43">
        <f>EO!G138+Finance!G138+HR!G138+Security!G138+IT!G138</f>
        <v>0</v>
      </c>
      <c r="H138" s="43">
        <f>EO!H138+Finance!H138+HR!H138+Security!H138+IT!H138</f>
        <v>0</v>
      </c>
      <c r="I138" s="43">
        <f>EO!I138+Finance!I138+HR!I138+Security!I138+IT!I138</f>
        <v>0</v>
      </c>
      <c r="J138" s="43">
        <f>EO!J138+Finance!J138+HR!J138+Security!J138+IT!J138</f>
        <v>0</v>
      </c>
      <c r="K138" s="43">
        <f>EO!K138+Finance!K138+HR!K138+Security!K138+IT!K138</f>
        <v>0</v>
      </c>
      <c r="L138" s="43">
        <f>EO!L138+Finance!L138+HR!L138+Security!L138+IT!L138</f>
        <v>0</v>
      </c>
      <c r="M138" s="43">
        <f>EO!M138+Finance!M138+HR!M138+Security!M138+IT!M138</f>
        <v>0</v>
      </c>
      <c r="N138" s="43">
        <f>EO!N138+Finance!N138+HR!N138+Security!N138+IT!N138</f>
        <v>0</v>
      </c>
      <c r="O138" s="43">
        <f>EO!O138+Finance!O138+HR!O138+Security!O138+IT!O138</f>
        <v>0</v>
      </c>
      <c r="P138" s="43">
        <f>EO!P138+Finance!P138+HR!P138+Security!P138+IT!P138</f>
        <v>0</v>
      </c>
      <c r="Q138" s="3">
        <f t="shared" si="5"/>
        <v>0</v>
      </c>
      <c r="R138" s="39">
        <f>Q138/Summary!$Q$16</f>
        <v>0</v>
      </c>
      <c r="S138" s="39"/>
      <c r="T138" s="35"/>
      <c r="U138" s="40">
        <f t="shared" si="7"/>
        <v>0</v>
      </c>
    </row>
    <row r="139" spans="1:21" s="3" customFormat="1" ht="25.4" hidden="1" customHeight="1">
      <c r="A139" s="3" t="s">
        <v>962</v>
      </c>
      <c r="B139" s="3" t="s">
        <v>51</v>
      </c>
      <c r="D139" s="26" t="s">
        <v>963</v>
      </c>
      <c r="E139" s="43">
        <f>EO!E139+Finance!E139+HR!E139+Security!E139+IT!E139</f>
        <v>0</v>
      </c>
      <c r="F139" s="43">
        <f>EO!F139+Finance!F139+HR!F139+Security!F139+IT!F139</f>
        <v>0</v>
      </c>
      <c r="G139" s="43">
        <f>EO!G139+Finance!G139+HR!G139+Security!G139+IT!G139</f>
        <v>0</v>
      </c>
      <c r="H139" s="43">
        <f>EO!H139+Finance!H139+HR!H139+Security!H139+IT!H139</f>
        <v>0</v>
      </c>
      <c r="I139" s="43">
        <f>EO!I139+Finance!I139+HR!I139+Security!I139+IT!I139</f>
        <v>0</v>
      </c>
      <c r="J139" s="43">
        <f>EO!J139+Finance!J139+HR!J139+Security!J139+IT!J139</f>
        <v>0</v>
      </c>
      <c r="K139" s="43">
        <f>EO!K139+Finance!K139+HR!K139+Security!K139+IT!K139</f>
        <v>0</v>
      </c>
      <c r="L139" s="43">
        <f>EO!L139+Finance!L139+HR!L139+Security!L139+IT!L139</f>
        <v>0</v>
      </c>
      <c r="M139" s="43">
        <f>EO!M139+Finance!M139+HR!M139+Security!M139+IT!M139</f>
        <v>0</v>
      </c>
      <c r="N139" s="43">
        <f>EO!N139+Finance!N139+HR!N139+Security!N139+IT!N139</f>
        <v>0</v>
      </c>
      <c r="O139" s="43">
        <f>EO!O139+Finance!O139+HR!O139+Security!O139+IT!O139</f>
        <v>0</v>
      </c>
      <c r="P139" s="43">
        <f>EO!P139+Finance!P139+HR!P139+Security!P139+IT!P139</f>
        <v>0</v>
      </c>
      <c r="Q139" s="3">
        <f t="shared" si="5"/>
        <v>0</v>
      </c>
      <c r="R139" s="39">
        <f>Q139/Summary!$Q$16</f>
        <v>0</v>
      </c>
      <c r="S139" s="39"/>
      <c r="T139" s="35"/>
      <c r="U139" s="40">
        <f t="shared" si="7"/>
        <v>0</v>
      </c>
    </row>
    <row r="140" spans="1:21" s="3" customFormat="1" ht="25.4" hidden="1" customHeight="1">
      <c r="A140" s="3" t="s">
        <v>964</v>
      </c>
      <c r="B140" s="3" t="s">
        <v>51</v>
      </c>
      <c r="D140" s="26" t="s">
        <v>965</v>
      </c>
      <c r="E140" s="43">
        <f>EO!E140+Finance!E140+HR!E140+Security!E140+IT!E140</f>
        <v>0</v>
      </c>
      <c r="F140" s="43">
        <f>EO!F140+Finance!F140+HR!F140+Security!F140+IT!F140</f>
        <v>0</v>
      </c>
      <c r="G140" s="43">
        <f>EO!G140+Finance!G140+HR!G140+Security!G140+IT!G140</f>
        <v>0</v>
      </c>
      <c r="H140" s="43">
        <f>EO!H140+Finance!H140+HR!H140+Security!H140+IT!H140</f>
        <v>0</v>
      </c>
      <c r="I140" s="43">
        <f>EO!I140+Finance!I140+HR!I140+Security!I140+IT!I140</f>
        <v>0</v>
      </c>
      <c r="J140" s="43">
        <f>EO!J140+Finance!J140+HR!J140+Security!J140+IT!J140</f>
        <v>0</v>
      </c>
      <c r="K140" s="43">
        <f>EO!K140+Finance!K140+HR!K140+Security!K140+IT!K140</f>
        <v>0</v>
      </c>
      <c r="L140" s="43">
        <f>EO!L140+Finance!L140+HR!L140+Security!L140+IT!L140</f>
        <v>0</v>
      </c>
      <c r="M140" s="43">
        <f>EO!M140+Finance!M140+HR!M140+Security!M140+IT!M140</f>
        <v>0</v>
      </c>
      <c r="N140" s="43">
        <f>EO!N140+Finance!N140+HR!N140+Security!N140+IT!N140</f>
        <v>0</v>
      </c>
      <c r="O140" s="43">
        <f>EO!O140+Finance!O140+HR!O140+Security!O140+IT!O140</f>
        <v>0</v>
      </c>
      <c r="P140" s="43">
        <f>EO!P140+Finance!P140+HR!P140+Security!P140+IT!P140</f>
        <v>0</v>
      </c>
      <c r="Q140" s="3">
        <f t="shared" si="5"/>
        <v>0</v>
      </c>
      <c r="R140" s="39">
        <f>Q140/Summary!$Q$16</f>
        <v>0</v>
      </c>
      <c r="S140" s="39"/>
      <c r="T140" s="35"/>
      <c r="U140" s="40">
        <f t="shared" si="7"/>
        <v>0</v>
      </c>
    </row>
    <row r="141" spans="1:21" s="3" customFormat="1" ht="25.4" hidden="1" customHeight="1">
      <c r="A141" s="3" t="s">
        <v>966</v>
      </c>
      <c r="B141" s="3" t="s">
        <v>51</v>
      </c>
      <c r="D141" s="26" t="s">
        <v>967</v>
      </c>
      <c r="E141" s="43">
        <f>EO!E141+Finance!E141+HR!E141+Security!E141+IT!E141</f>
        <v>0</v>
      </c>
      <c r="F141" s="43">
        <f>EO!F141+Finance!F141+HR!F141+Security!F141+IT!F141</f>
        <v>0</v>
      </c>
      <c r="G141" s="43">
        <f>EO!G141+Finance!G141+HR!G141+Security!G141+IT!G141</f>
        <v>0</v>
      </c>
      <c r="H141" s="43">
        <f>EO!H141+Finance!H141+HR!H141+Security!H141+IT!H141</f>
        <v>0</v>
      </c>
      <c r="I141" s="43">
        <f>EO!I141+Finance!I141+HR!I141+Security!I141+IT!I141</f>
        <v>0</v>
      </c>
      <c r="J141" s="43">
        <f>EO!J141+Finance!J141+HR!J141+Security!J141+IT!J141</f>
        <v>0</v>
      </c>
      <c r="K141" s="43">
        <f>EO!K141+Finance!K141+HR!K141+Security!K141+IT!K141</f>
        <v>0</v>
      </c>
      <c r="L141" s="43">
        <f>EO!L141+Finance!L141+HR!L141+Security!L141+IT!L141</f>
        <v>0</v>
      </c>
      <c r="M141" s="43">
        <f>EO!M141+Finance!M141+HR!M141+Security!M141+IT!M141</f>
        <v>0</v>
      </c>
      <c r="N141" s="43">
        <f>EO!N141+Finance!N141+HR!N141+Security!N141+IT!N141</f>
        <v>0</v>
      </c>
      <c r="O141" s="43">
        <f>EO!O141+Finance!O141+HR!O141+Security!O141+IT!O141</f>
        <v>0</v>
      </c>
      <c r="P141" s="43">
        <f>EO!P141+Finance!P141+HR!P141+Security!P141+IT!P141</f>
        <v>0</v>
      </c>
      <c r="Q141" s="3">
        <f t="shared" si="5"/>
        <v>0</v>
      </c>
      <c r="R141" s="39">
        <f>Q141/Summary!$Q$16</f>
        <v>0</v>
      </c>
      <c r="S141" s="39"/>
      <c r="T141" s="35"/>
      <c r="U141" s="40">
        <f t="shared" si="7"/>
        <v>0</v>
      </c>
    </row>
    <row r="142" spans="1:21" s="3" customFormat="1" ht="25.4" hidden="1" customHeight="1">
      <c r="A142" s="3" t="s">
        <v>968</v>
      </c>
      <c r="B142" s="3" t="s">
        <v>51</v>
      </c>
      <c r="D142" s="26" t="s">
        <v>969</v>
      </c>
      <c r="E142" s="43">
        <f>EO!E142+Finance!E142+HR!E142+Security!E142+IT!E142</f>
        <v>0</v>
      </c>
      <c r="F142" s="43">
        <f>EO!F142+Finance!F142+HR!F142+Security!F142+IT!F142</f>
        <v>0</v>
      </c>
      <c r="G142" s="43">
        <f>EO!G142+Finance!G142+HR!G142+Security!G142+IT!G142</f>
        <v>0</v>
      </c>
      <c r="H142" s="43">
        <f>EO!H142+Finance!H142+HR!H142+Security!H142+IT!H142</f>
        <v>0</v>
      </c>
      <c r="I142" s="43">
        <f>EO!I142+Finance!I142+HR!I142+Security!I142+IT!I142</f>
        <v>0</v>
      </c>
      <c r="J142" s="43">
        <f>EO!J142+Finance!J142+HR!J142+Security!J142+IT!J142</f>
        <v>0</v>
      </c>
      <c r="K142" s="43">
        <f>EO!K142+Finance!K142+HR!K142+Security!K142+IT!K142</f>
        <v>0</v>
      </c>
      <c r="L142" s="43">
        <f>EO!L142+Finance!L142+HR!L142+Security!L142+IT!L142</f>
        <v>0</v>
      </c>
      <c r="M142" s="43">
        <f>EO!M142+Finance!M142+HR!M142+Security!M142+IT!M142</f>
        <v>0</v>
      </c>
      <c r="N142" s="43">
        <f>EO!N142+Finance!N142+HR!N142+Security!N142+IT!N142</f>
        <v>0</v>
      </c>
      <c r="O142" s="43">
        <f>EO!O142+Finance!O142+HR!O142+Security!O142+IT!O142</f>
        <v>0</v>
      </c>
      <c r="P142" s="43">
        <f>EO!P142+Finance!P142+HR!P142+Security!P142+IT!P142</f>
        <v>0</v>
      </c>
      <c r="Q142" s="3">
        <f t="shared" si="5"/>
        <v>0</v>
      </c>
      <c r="R142" s="39">
        <f>Q142/Summary!$Q$16</f>
        <v>0</v>
      </c>
      <c r="S142" s="39"/>
      <c r="T142" s="35"/>
      <c r="U142" s="40">
        <f t="shared" si="7"/>
        <v>0</v>
      </c>
    </row>
    <row r="143" spans="1:21" s="3" customFormat="1" ht="25.4" hidden="1" customHeight="1">
      <c r="A143" s="3" t="s">
        <v>970</v>
      </c>
      <c r="B143" s="3" t="s">
        <v>51</v>
      </c>
      <c r="D143" s="26" t="s">
        <v>971</v>
      </c>
      <c r="E143" s="43">
        <f>EO!E143+Finance!E143+HR!E143+Security!E143+IT!E143</f>
        <v>0</v>
      </c>
      <c r="F143" s="43">
        <f>EO!F143+Finance!F143+HR!F143+Security!F143+IT!F143</f>
        <v>0</v>
      </c>
      <c r="G143" s="43">
        <f>EO!G143+Finance!G143+HR!G143+Security!G143+IT!G143</f>
        <v>0</v>
      </c>
      <c r="H143" s="43">
        <f>EO!H143+Finance!H143+HR!H143+Security!H143+IT!H143</f>
        <v>0</v>
      </c>
      <c r="I143" s="43">
        <f>EO!I143+Finance!I143+HR!I143+Security!I143+IT!I143</f>
        <v>0</v>
      </c>
      <c r="J143" s="43">
        <f>EO!J143+Finance!J143+HR!J143+Security!J143+IT!J143</f>
        <v>0</v>
      </c>
      <c r="K143" s="43">
        <f>EO!K143+Finance!K143+HR!K143+Security!K143+IT!K143</f>
        <v>0</v>
      </c>
      <c r="L143" s="43">
        <f>EO!L143+Finance!L143+HR!L143+Security!L143+IT!L143</f>
        <v>0</v>
      </c>
      <c r="M143" s="43">
        <f>EO!M143+Finance!M143+HR!M143+Security!M143+IT!M143</f>
        <v>0</v>
      </c>
      <c r="N143" s="43">
        <f>EO!N143+Finance!N143+HR!N143+Security!N143+IT!N143</f>
        <v>0</v>
      </c>
      <c r="O143" s="43">
        <f>EO!O143+Finance!O143+HR!O143+Security!O143+IT!O143</f>
        <v>0</v>
      </c>
      <c r="P143" s="43">
        <f>EO!P143+Finance!P143+HR!P143+Security!P143+IT!P143</f>
        <v>0</v>
      </c>
      <c r="Q143" s="3">
        <f t="shared" si="5"/>
        <v>0</v>
      </c>
      <c r="R143" s="39">
        <f>Q143/Summary!$Q$16</f>
        <v>0</v>
      </c>
      <c r="S143" s="39"/>
      <c r="T143" s="35"/>
      <c r="U143" s="40">
        <f t="shared" si="7"/>
        <v>0</v>
      </c>
    </row>
    <row r="144" spans="1:21" s="3" customFormat="1" ht="25.4" hidden="1" customHeight="1">
      <c r="A144" s="3" t="s">
        <v>972</v>
      </c>
      <c r="B144" s="3" t="s">
        <v>51</v>
      </c>
      <c r="D144" s="26" t="s">
        <v>973</v>
      </c>
      <c r="E144" s="43">
        <f>EO!E144+Finance!E144+HR!E144+Security!E144+IT!E144</f>
        <v>0</v>
      </c>
      <c r="F144" s="43">
        <f>EO!F144+Finance!F144+HR!F144+Security!F144+IT!F144</f>
        <v>0</v>
      </c>
      <c r="G144" s="43">
        <f>EO!G144+Finance!G144+HR!G144+Security!G144+IT!G144</f>
        <v>0</v>
      </c>
      <c r="H144" s="43">
        <f>EO!H144+Finance!H144+HR!H144+Security!H144+IT!H144</f>
        <v>0</v>
      </c>
      <c r="I144" s="43">
        <f>EO!I144+Finance!I144+HR!I144+Security!I144+IT!I144</f>
        <v>0</v>
      </c>
      <c r="J144" s="43">
        <f>EO!J144+Finance!J144+HR!J144+Security!J144+IT!J144</f>
        <v>0</v>
      </c>
      <c r="K144" s="43">
        <f>EO!K144+Finance!K144+HR!K144+Security!K144+IT!K144</f>
        <v>0</v>
      </c>
      <c r="L144" s="43">
        <f>EO!L144+Finance!L144+HR!L144+Security!L144+IT!L144</f>
        <v>0</v>
      </c>
      <c r="M144" s="43">
        <f>EO!M144+Finance!M144+HR!M144+Security!M144+IT!M144</f>
        <v>0</v>
      </c>
      <c r="N144" s="43">
        <f>EO!N144+Finance!N144+HR!N144+Security!N144+IT!N144</f>
        <v>0</v>
      </c>
      <c r="O144" s="43">
        <f>EO!O144+Finance!O144+HR!O144+Security!O144+IT!O144</f>
        <v>0</v>
      </c>
      <c r="P144" s="43">
        <f>EO!P144+Finance!P144+HR!P144+Security!P144+IT!P144</f>
        <v>0</v>
      </c>
      <c r="Q144" s="3">
        <f t="shared" ref="Q144:Q157" si="8">SUM(E144:P144)</f>
        <v>0</v>
      </c>
      <c r="R144" s="39">
        <f>Q144/Summary!$Q$16</f>
        <v>0</v>
      </c>
      <c r="S144" s="39"/>
      <c r="T144" s="35"/>
      <c r="U144" s="40">
        <f t="shared" si="7"/>
        <v>0</v>
      </c>
    </row>
    <row r="145" spans="1:21" s="3" customFormat="1" ht="25.4" hidden="1" customHeight="1">
      <c r="A145" s="3" t="s">
        <v>974</v>
      </c>
      <c r="B145" s="3" t="s">
        <v>51</v>
      </c>
      <c r="D145" s="26" t="s">
        <v>975</v>
      </c>
      <c r="E145" s="43">
        <f>EO!E145+Finance!E145+HR!E145+Security!E145+IT!E145</f>
        <v>0</v>
      </c>
      <c r="F145" s="43">
        <f>EO!F145+Finance!F145+HR!F145+Security!F145+IT!F145</f>
        <v>0</v>
      </c>
      <c r="G145" s="43">
        <f>EO!G145+Finance!G145+HR!G145+Security!G145+IT!G145</f>
        <v>0</v>
      </c>
      <c r="H145" s="43">
        <f>EO!H145+Finance!H145+HR!H145+Security!H145+IT!H145</f>
        <v>0</v>
      </c>
      <c r="I145" s="43">
        <f>EO!I145+Finance!I145+HR!I145+Security!I145+IT!I145</f>
        <v>0</v>
      </c>
      <c r="J145" s="43">
        <f>EO!J145+Finance!J145+HR!J145+Security!J145+IT!J145</f>
        <v>0</v>
      </c>
      <c r="K145" s="43">
        <f>EO!K145+Finance!K145+HR!K145+Security!K145+IT!K145</f>
        <v>0</v>
      </c>
      <c r="L145" s="43">
        <f>EO!L145+Finance!L145+HR!L145+Security!L145+IT!L145</f>
        <v>0</v>
      </c>
      <c r="M145" s="43">
        <f>EO!M145+Finance!M145+HR!M145+Security!M145+IT!M145</f>
        <v>0</v>
      </c>
      <c r="N145" s="43">
        <f>EO!N145+Finance!N145+HR!N145+Security!N145+IT!N145</f>
        <v>0</v>
      </c>
      <c r="O145" s="43">
        <f>EO!O145+Finance!O145+HR!O145+Security!O145+IT!O145</f>
        <v>0</v>
      </c>
      <c r="P145" s="43">
        <f>EO!P145+Finance!P145+HR!P145+Security!P145+IT!P145</f>
        <v>0</v>
      </c>
      <c r="Q145" s="3">
        <f t="shared" si="8"/>
        <v>0</v>
      </c>
      <c r="R145" s="39">
        <f>Q145/Summary!$Q$16</f>
        <v>0</v>
      </c>
      <c r="S145" s="39"/>
      <c r="T145" s="35"/>
      <c r="U145" s="40">
        <f t="shared" si="7"/>
        <v>0</v>
      </c>
    </row>
    <row r="146" spans="1:21" s="3" customFormat="1" ht="25.4" hidden="1" customHeight="1">
      <c r="A146" s="3" t="s">
        <v>976</v>
      </c>
      <c r="B146" s="3" t="s">
        <v>51</v>
      </c>
      <c r="D146" s="26" t="s">
        <v>977</v>
      </c>
      <c r="E146" s="43">
        <f>EO!E146+Finance!E146+HR!E146+Security!E146+IT!E146</f>
        <v>0</v>
      </c>
      <c r="F146" s="43">
        <f>EO!F146+Finance!F146+HR!F146+Security!F146+IT!F146</f>
        <v>0</v>
      </c>
      <c r="G146" s="43">
        <f>EO!G146+Finance!G146+HR!G146+Security!G146+IT!G146</f>
        <v>0</v>
      </c>
      <c r="H146" s="43">
        <f>EO!H146+Finance!H146+HR!H146+Security!H146+IT!H146</f>
        <v>0</v>
      </c>
      <c r="I146" s="43">
        <f>EO!I146+Finance!I146+HR!I146+Security!I146+IT!I146</f>
        <v>0</v>
      </c>
      <c r="J146" s="43">
        <f>EO!J146+Finance!J146+HR!J146+Security!J146+IT!J146</f>
        <v>0</v>
      </c>
      <c r="K146" s="43">
        <f>EO!K146+Finance!K146+HR!K146+Security!K146+IT!K146</f>
        <v>0</v>
      </c>
      <c r="L146" s="43">
        <f>EO!L146+Finance!L146+HR!L146+Security!L146+IT!L146</f>
        <v>0</v>
      </c>
      <c r="M146" s="43">
        <f>EO!M146+Finance!M146+HR!M146+Security!M146+IT!M146</f>
        <v>0</v>
      </c>
      <c r="N146" s="43">
        <f>EO!N146+Finance!N146+HR!N146+Security!N146+IT!N146</f>
        <v>0</v>
      </c>
      <c r="O146" s="43">
        <f>EO!O146+Finance!O146+HR!O146+Security!O146+IT!O146</f>
        <v>0</v>
      </c>
      <c r="P146" s="43">
        <f>EO!P146+Finance!P146+HR!P146+Security!P146+IT!P146</f>
        <v>0</v>
      </c>
      <c r="Q146" s="3">
        <f t="shared" si="8"/>
        <v>0</v>
      </c>
      <c r="R146" s="39">
        <f>Q146/Summary!$Q$16</f>
        <v>0</v>
      </c>
      <c r="S146" s="39"/>
      <c r="T146" s="35"/>
      <c r="U146" s="40">
        <f t="shared" si="7"/>
        <v>0</v>
      </c>
    </row>
    <row r="147" spans="1:21" s="3" customFormat="1" ht="25.4" hidden="1" customHeight="1">
      <c r="A147" s="3" t="s">
        <v>978</v>
      </c>
      <c r="B147" s="3" t="s">
        <v>51</v>
      </c>
      <c r="D147" s="26" t="s">
        <v>979</v>
      </c>
      <c r="E147" s="43">
        <f>EO!E147+Finance!E147+HR!E147+Security!E147+IT!E147</f>
        <v>0</v>
      </c>
      <c r="F147" s="43">
        <f>EO!F147+Finance!F147+HR!F147+Security!F147+IT!F147</f>
        <v>0</v>
      </c>
      <c r="G147" s="43">
        <f>EO!G147+Finance!G147+HR!G147+Security!G147+IT!G147</f>
        <v>0</v>
      </c>
      <c r="H147" s="43">
        <f>EO!H147+Finance!H147+HR!H147+Security!H147+IT!H147</f>
        <v>0</v>
      </c>
      <c r="I147" s="43">
        <f>EO!I147+Finance!I147+HR!I147+Security!I147+IT!I147</f>
        <v>0</v>
      </c>
      <c r="J147" s="43">
        <f>EO!J147+Finance!J147+HR!J147+Security!J147+IT!J147</f>
        <v>0</v>
      </c>
      <c r="K147" s="43">
        <f>EO!K147+Finance!K147+HR!K147+Security!K147+IT!K147</f>
        <v>0</v>
      </c>
      <c r="L147" s="43">
        <f>EO!L147+Finance!L147+HR!L147+Security!L147+IT!L147</f>
        <v>0</v>
      </c>
      <c r="M147" s="43">
        <f>EO!M147+Finance!M147+HR!M147+Security!M147+IT!M147</f>
        <v>0</v>
      </c>
      <c r="N147" s="43">
        <f>EO!N147+Finance!N147+HR!N147+Security!N147+IT!N147</f>
        <v>0</v>
      </c>
      <c r="O147" s="43">
        <f>EO!O147+Finance!O147+HR!O147+Security!O147+IT!O147</f>
        <v>0</v>
      </c>
      <c r="P147" s="43">
        <f>EO!P147+Finance!P147+HR!P147+Security!P147+IT!P147</f>
        <v>0</v>
      </c>
      <c r="Q147" s="3">
        <f t="shared" si="8"/>
        <v>0</v>
      </c>
      <c r="R147" s="39">
        <f>Q147/Summary!$Q$16</f>
        <v>0</v>
      </c>
      <c r="S147" s="39"/>
      <c r="T147" s="35"/>
      <c r="U147" s="40">
        <f t="shared" si="7"/>
        <v>0</v>
      </c>
    </row>
    <row r="148" spans="1:21" s="3" customFormat="1" ht="25.4" hidden="1" customHeight="1">
      <c r="A148" s="3" t="s">
        <v>980</v>
      </c>
      <c r="B148" s="3" t="s">
        <v>51</v>
      </c>
      <c r="D148" s="26" t="s">
        <v>981</v>
      </c>
      <c r="E148" s="43">
        <f>EO!E148+Finance!E148+HR!E148+Security!E148+IT!E148</f>
        <v>0</v>
      </c>
      <c r="F148" s="43">
        <f>EO!F148+Finance!F148+HR!F148+Security!F148+IT!F148</f>
        <v>0</v>
      </c>
      <c r="G148" s="43">
        <f>EO!G148+Finance!G148+HR!G148+Security!G148+IT!G148</f>
        <v>0</v>
      </c>
      <c r="H148" s="43">
        <f>EO!H148+Finance!H148+HR!H148+Security!H148+IT!H148</f>
        <v>0</v>
      </c>
      <c r="I148" s="43">
        <f>EO!I148+Finance!I148+HR!I148+Security!I148+IT!I148</f>
        <v>0</v>
      </c>
      <c r="J148" s="43">
        <f>EO!J148+Finance!J148+HR!J148+Security!J148+IT!J148</f>
        <v>0</v>
      </c>
      <c r="K148" s="43">
        <f>EO!K148+Finance!K148+HR!K148+Security!K148+IT!K148</f>
        <v>0</v>
      </c>
      <c r="L148" s="43">
        <f>EO!L148+Finance!L148+HR!L148+Security!L148+IT!L148</f>
        <v>0</v>
      </c>
      <c r="M148" s="43">
        <f>EO!M148+Finance!M148+HR!M148+Security!M148+IT!M148</f>
        <v>0</v>
      </c>
      <c r="N148" s="43">
        <f>EO!N148+Finance!N148+HR!N148+Security!N148+IT!N148</f>
        <v>0</v>
      </c>
      <c r="O148" s="43">
        <f>EO!O148+Finance!O148+HR!O148+Security!O148+IT!O148</f>
        <v>0</v>
      </c>
      <c r="P148" s="43">
        <f>EO!P148+Finance!P148+HR!P148+Security!P148+IT!P148</f>
        <v>0</v>
      </c>
      <c r="Q148" s="3">
        <f t="shared" si="8"/>
        <v>0</v>
      </c>
      <c r="R148" s="39">
        <f>Q148/Summary!$Q$16</f>
        <v>0</v>
      </c>
      <c r="S148" s="39"/>
      <c r="T148" s="35"/>
      <c r="U148" s="40">
        <f t="shared" si="7"/>
        <v>0</v>
      </c>
    </row>
    <row r="149" spans="1:21" s="3" customFormat="1" ht="25.4" hidden="1" customHeight="1">
      <c r="A149" s="3" t="s">
        <v>982</v>
      </c>
      <c r="B149" s="3" t="s">
        <v>51</v>
      </c>
      <c r="D149" s="26" t="s">
        <v>983</v>
      </c>
      <c r="E149" s="43">
        <f>EO!E149+Finance!E149+HR!E149+Security!E149+IT!E149</f>
        <v>0</v>
      </c>
      <c r="F149" s="43">
        <f>EO!F149+Finance!F149+HR!F149+Security!F149+IT!F149</f>
        <v>0</v>
      </c>
      <c r="G149" s="43">
        <f>EO!G149+Finance!G149+HR!G149+Security!G149+IT!G149</f>
        <v>0</v>
      </c>
      <c r="H149" s="43">
        <f>EO!H149+Finance!H149+HR!H149+Security!H149+IT!H149</f>
        <v>0</v>
      </c>
      <c r="I149" s="43">
        <f>EO!I149+Finance!I149+HR!I149+Security!I149+IT!I149</f>
        <v>0</v>
      </c>
      <c r="J149" s="43">
        <f>EO!J149+Finance!J149+HR!J149+Security!J149+IT!J149</f>
        <v>0</v>
      </c>
      <c r="K149" s="43">
        <f>EO!K149+Finance!K149+HR!K149+Security!K149+IT!K149</f>
        <v>0</v>
      </c>
      <c r="L149" s="43">
        <f>EO!L149+Finance!L149+HR!L149+Security!L149+IT!L149</f>
        <v>0</v>
      </c>
      <c r="M149" s="43">
        <f>EO!M149+Finance!M149+HR!M149+Security!M149+IT!M149</f>
        <v>0</v>
      </c>
      <c r="N149" s="43">
        <f>EO!N149+Finance!N149+HR!N149+Security!N149+IT!N149</f>
        <v>0</v>
      </c>
      <c r="O149" s="43">
        <f>EO!O149+Finance!O149+HR!O149+Security!O149+IT!O149</f>
        <v>0</v>
      </c>
      <c r="P149" s="43">
        <f>EO!P149+Finance!P149+HR!P149+Security!P149+IT!P149</f>
        <v>0</v>
      </c>
      <c r="Q149" s="3">
        <f t="shared" si="8"/>
        <v>0</v>
      </c>
      <c r="R149" s="39">
        <f>Q149/Summary!$Q$16</f>
        <v>0</v>
      </c>
      <c r="S149" s="39"/>
      <c r="T149" s="35"/>
      <c r="U149" s="40">
        <f t="shared" si="7"/>
        <v>0</v>
      </c>
    </row>
    <row r="150" spans="1:21" s="3" customFormat="1" ht="25.4" hidden="1" customHeight="1">
      <c r="A150" s="3" t="s">
        <v>984</v>
      </c>
      <c r="B150" s="3" t="s">
        <v>51</v>
      </c>
      <c r="D150" s="26" t="s">
        <v>985</v>
      </c>
      <c r="E150" s="43">
        <f>EO!E150+Finance!E150+HR!E150+Security!E150+IT!E150</f>
        <v>0</v>
      </c>
      <c r="F150" s="43">
        <f>EO!F150+Finance!F150+HR!F150+Security!F150+IT!F150</f>
        <v>0</v>
      </c>
      <c r="G150" s="43">
        <f>EO!G150+Finance!G150+HR!G150+Security!G150+IT!G150</f>
        <v>0</v>
      </c>
      <c r="H150" s="43">
        <f>EO!H150+Finance!H150+HR!H150+Security!H150+IT!H150</f>
        <v>0</v>
      </c>
      <c r="I150" s="43">
        <f>EO!I150+Finance!I150+HR!I150+Security!I150+IT!I150</f>
        <v>0</v>
      </c>
      <c r="J150" s="43">
        <f>EO!J150+Finance!J150+HR!J150+Security!J150+IT!J150</f>
        <v>0</v>
      </c>
      <c r="K150" s="43">
        <f>EO!K150+Finance!K150+HR!K150+Security!K150+IT!K150</f>
        <v>0</v>
      </c>
      <c r="L150" s="43">
        <f>EO!L150+Finance!L150+HR!L150+Security!L150+IT!L150</f>
        <v>0</v>
      </c>
      <c r="M150" s="43">
        <f>EO!M150+Finance!M150+HR!M150+Security!M150+IT!M150</f>
        <v>0</v>
      </c>
      <c r="N150" s="43">
        <f>EO!N150+Finance!N150+HR!N150+Security!N150+IT!N150</f>
        <v>0</v>
      </c>
      <c r="O150" s="43">
        <f>EO!O150+Finance!O150+HR!O150+Security!O150+IT!O150</f>
        <v>0</v>
      </c>
      <c r="P150" s="43">
        <f>EO!P150+Finance!P150+HR!P150+Security!P150+IT!P150</f>
        <v>0</v>
      </c>
      <c r="Q150" s="3">
        <f t="shared" si="8"/>
        <v>0</v>
      </c>
      <c r="R150" s="39">
        <f>Q150/Summary!$Q$16</f>
        <v>0</v>
      </c>
      <c r="S150" s="39"/>
      <c r="T150" s="35"/>
      <c r="U150" s="40">
        <f t="shared" si="7"/>
        <v>0</v>
      </c>
    </row>
    <row r="151" spans="1:21" s="3" customFormat="1" ht="25.4" hidden="1" customHeight="1">
      <c r="A151" s="3" t="s">
        <v>986</v>
      </c>
      <c r="B151" s="3" t="s">
        <v>51</v>
      </c>
      <c r="D151" s="26" t="s">
        <v>987</v>
      </c>
      <c r="E151" s="43">
        <f>EO!E151+Finance!E151+HR!E151+Security!E151+IT!E151</f>
        <v>0</v>
      </c>
      <c r="F151" s="43">
        <f>EO!F151+Finance!F151+HR!F151+Security!F151+IT!F151</f>
        <v>0</v>
      </c>
      <c r="G151" s="43">
        <f>EO!G151+Finance!G151+HR!G151+Security!G151+IT!G151</f>
        <v>0</v>
      </c>
      <c r="H151" s="43">
        <f>EO!H151+Finance!H151+HR!H151+Security!H151+IT!H151</f>
        <v>0</v>
      </c>
      <c r="I151" s="43">
        <f>EO!I151+Finance!I151+HR!I151+Security!I151+IT!I151</f>
        <v>0</v>
      </c>
      <c r="J151" s="43">
        <f>EO!J151+Finance!J151+HR!J151+Security!J151+IT!J151</f>
        <v>0</v>
      </c>
      <c r="K151" s="43">
        <f>EO!K151+Finance!K151+HR!K151+Security!K151+IT!K151</f>
        <v>0</v>
      </c>
      <c r="L151" s="43">
        <f>EO!L151+Finance!L151+HR!L151+Security!L151+IT!L151</f>
        <v>0</v>
      </c>
      <c r="M151" s="43">
        <f>EO!M151+Finance!M151+HR!M151+Security!M151+IT!M151</f>
        <v>0</v>
      </c>
      <c r="N151" s="43">
        <f>EO!N151+Finance!N151+HR!N151+Security!N151+IT!N151</f>
        <v>0</v>
      </c>
      <c r="O151" s="43">
        <f>EO!O151+Finance!O151+HR!O151+Security!O151+IT!O151</f>
        <v>0</v>
      </c>
      <c r="P151" s="43">
        <f>EO!P151+Finance!P151+HR!P151+Security!P151+IT!P151</f>
        <v>0</v>
      </c>
      <c r="Q151" s="3">
        <f t="shared" si="8"/>
        <v>0</v>
      </c>
      <c r="R151" s="39">
        <f>Q151/Summary!$Q$16</f>
        <v>0</v>
      </c>
      <c r="S151" s="39"/>
      <c r="T151" s="35"/>
      <c r="U151" s="40">
        <f t="shared" si="7"/>
        <v>0</v>
      </c>
    </row>
    <row r="152" spans="1:21" s="3" customFormat="1" ht="25.4" hidden="1" customHeight="1">
      <c r="A152" s="3" t="s">
        <v>988</v>
      </c>
      <c r="B152" s="3" t="s">
        <v>51</v>
      </c>
      <c r="D152" s="26" t="s">
        <v>989</v>
      </c>
      <c r="E152" s="43">
        <f>EO!E152+Finance!E152+HR!E152+Security!E152+IT!E152</f>
        <v>0</v>
      </c>
      <c r="F152" s="43">
        <f>EO!F152+Finance!F152+HR!F152+Security!F152+IT!F152</f>
        <v>0</v>
      </c>
      <c r="G152" s="43">
        <f>EO!G152+Finance!G152+HR!G152+Security!G152+IT!G152</f>
        <v>0</v>
      </c>
      <c r="H152" s="43">
        <f>EO!H152+Finance!H152+HR!H152+Security!H152+IT!H152</f>
        <v>0</v>
      </c>
      <c r="I152" s="43">
        <f>EO!I152+Finance!I152+HR!I152+Security!I152+IT!I152</f>
        <v>0</v>
      </c>
      <c r="J152" s="43">
        <f>EO!J152+Finance!J152+HR!J152+Security!J152+IT!J152</f>
        <v>0</v>
      </c>
      <c r="K152" s="43">
        <f>EO!K152+Finance!K152+HR!K152+Security!K152+IT!K152</f>
        <v>0</v>
      </c>
      <c r="L152" s="43">
        <f>EO!L152+Finance!L152+HR!L152+Security!L152+IT!L152</f>
        <v>0</v>
      </c>
      <c r="M152" s="43">
        <f>EO!M152+Finance!M152+HR!M152+Security!M152+IT!M152</f>
        <v>0</v>
      </c>
      <c r="N152" s="43">
        <f>EO!N152+Finance!N152+HR!N152+Security!N152+IT!N152</f>
        <v>0</v>
      </c>
      <c r="O152" s="43">
        <f>EO!O152+Finance!O152+HR!O152+Security!O152+IT!O152</f>
        <v>0</v>
      </c>
      <c r="P152" s="43">
        <f>EO!P152+Finance!P152+HR!P152+Security!P152+IT!P152</f>
        <v>0</v>
      </c>
      <c r="Q152" s="3">
        <f t="shared" si="8"/>
        <v>0</v>
      </c>
      <c r="R152" s="39">
        <f>Q152/Summary!$Q$16</f>
        <v>0</v>
      </c>
      <c r="S152" s="39"/>
      <c r="T152" s="35"/>
      <c r="U152" s="40">
        <f t="shared" si="7"/>
        <v>0</v>
      </c>
    </row>
    <row r="153" spans="1:21" s="3" customFormat="1" ht="25.4" hidden="1" customHeight="1">
      <c r="A153" s="3" t="s">
        <v>990</v>
      </c>
      <c r="B153" s="3" t="s">
        <v>51</v>
      </c>
      <c r="D153" s="26" t="s">
        <v>991</v>
      </c>
      <c r="E153" s="43">
        <f>EO!E153+Finance!E153+HR!E153+Security!E153+IT!E153</f>
        <v>0</v>
      </c>
      <c r="F153" s="43">
        <f>EO!F153+Finance!F153+HR!F153+Security!F153+IT!F153</f>
        <v>0</v>
      </c>
      <c r="G153" s="43">
        <f>EO!G153+Finance!G153+HR!G153+Security!G153+IT!G153</f>
        <v>0</v>
      </c>
      <c r="H153" s="43">
        <f>EO!H153+Finance!H153+HR!H153+Security!H153+IT!H153</f>
        <v>0</v>
      </c>
      <c r="I153" s="43">
        <f>EO!I153+Finance!I153+HR!I153+Security!I153+IT!I153</f>
        <v>0</v>
      </c>
      <c r="J153" s="43">
        <f>EO!J153+Finance!J153+HR!J153+Security!J153+IT!J153</f>
        <v>0</v>
      </c>
      <c r="K153" s="43">
        <f>EO!K153+Finance!K153+HR!K153+Security!K153+IT!K153</f>
        <v>0</v>
      </c>
      <c r="L153" s="43">
        <f>EO!L153+Finance!L153+HR!L153+Security!L153+IT!L153</f>
        <v>0</v>
      </c>
      <c r="M153" s="43">
        <f>EO!M153+Finance!M153+HR!M153+Security!M153+IT!M153</f>
        <v>0</v>
      </c>
      <c r="N153" s="43">
        <f>EO!N153+Finance!N153+HR!N153+Security!N153+IT!N153</f>
        <v>0</v>
      </c>
      <c r="O153" s="43">
        <f>EO!O153+Finance!O153+HR!O153+Security!O153+IT!O153</f>
        <v>0</v>
      </c>
      <c r="P153" s="43">
        <f>EO!P153+Finance!P153+HR!P153+Security!P153+IT!P153</f>
        <v>0</v>
      </c>
      <c r="Q153" s="3">
        <f t="shared" si="8"/>
        <v>0</v>
      </c>
      <c r="R153" s="39">
        <f>Q153/Summary!$Q$16</f>
        <v>0</v>
      </c>
      <c r="S153" s="39"/>
      <c r="T153" s="35"/>
      <c r="U153" s="40">
        <f t="shared" si="7"/>
        <v>0</v>
      </c>
    </row>
    <row r="154" spans="1:21" s="3" customFormat="1" ht="25.4" customHeight="1">
      <c r="A154" s="3" t="s">
        <v>992</v>
      </c>
      <c r="B154" s="3" t="s">
        <v>51</v>
      </c>
      <c r="D154" s="26" t="s">
        <v>993</v>
      </c>
      <c r="E154" s="43">
        <f>EO!E154+Finance!E154+HR!E154+Security!E154+IT!E154</f>
        <v>500</v>
      </c>
      <c r="F154" s="43">
        <f>EO!F154+Finance!F154+HR!F154+Security!F154+IT!F154</f>
        <v>500</v>
      </c>
      <c r="G154" s="43">
        <f>EO!G154+Finance!G154+HR!G154+Security!G154+IT!G154</f>
        <v>500</v>
      </c>
      <c r="H154" s="43">
        <f>EO!H154+Finance!H154+HR!H154+Security!H154+IT!H154</f>
        <v>500</v>
      </c>
      <c r="I154" s="43">
        <f>EO!I154+Finance!I154+HR!I154+Security!I154+IT!I154</f>
        <v>500</v>
      </c>
      <c r="J154" s="43">
        <f>EO!J154+Finance!J154+HR!J154+Security!J154+IT!J154</f>
        <v>500</v>
      </c>
      <c r="K154" s="43">
        <f>EO!K154+Finance!K154+HR!K154+Security!K154+IT!K154</f>
        <v>1000</v>
      </c>
      <c r="L154" s="43">
        <f>EO!L154+Finance!L154+HR!L154+Security!L154+IT!L154</f>
        <v>1000</v>
      </c>
      <c r="M154" s="43">
        <f>EO!M154+Finance!M154+HR!M154+Security!M154+IT!M154</f>
        <v>1000</v>
      </c>
      <c r="N154" s="43">
        <f>EO!N154+Finance!N154+HR!N154+Security!N154+IT!N154</f>
        <v>1000</v>
      </c>
      <c r="O154" s="43">
        <f>EO!O154+Finance!O154+HR!O154+Security!O154+IT!O154</f>
        <v>1000</v>
      </c>
      <c r="P154" s="43">
        <f>EO!P154+Finance!P154+HR!P154+Security!P154+IT!P154</f>
        <v>1000</v>
      </c>
      <c r="Q154" s="3">
        <f t="shared" si="8"/>
        <v>9000</v>
      </c>
      <c r="R154" s="39">
        <f>Q154/Summary!$Q$16</f>
        <v>1.1299401435050095E-4</v>
      </c>
      <c r="S154" s="39"/>
      <c r="T154" s="35"/>
      <c r="U154" s="40" t="e">
        <f t="shared" si="7"/>
        <v>#DIV/0!</v>
      </c>
    </row>
    <row r="155" spans="1:21" s="3" customFormat="1" ht="25.4" customHeight="1">
      <c r="A155" s="3" t="s">
        <v>994</v>
      </c>
      <c r="B155" s="3" t="s">
        <v>51</v>
      </c>
      <c r="D155" s="26" t="s">
        <v>995</v>
      </c>
      <c r="E155" s="43">
        <f>EO!E155+Finance!E155+HR!E155+Security!E155+IT!E155</f>
        <v>0</v>
      </c>
      <c r="F155" s="43">
        <f>EO!F155+Finance!F155+HR!F155+Security!F155+IT!F155</f>
        <v>0</v>
      </c>
      <c r="G155" s="43">
        <f>EO!G155+Finance!G155+HR!G155+Security!G155+IT!G155</f>
        <v>0</v>
      </c>
      <c r="H155" s="43">
        <f>EO!H155+Finance!H155+HR!H155+Security!H155+IT!H155</f>
        <v>0</v>
      </c>
      <c r="I155" s="43">
        <f>EO!I155+Finance!I155+HR!I155+Security!I155+IT!I155</f>
        <v>0</v>
      </c>
      <c r="J155" s="43">
        <f>EO!J155+Finance!J155+HR!J155+Security!J155+IT!J155</f>
        <v>0</v>
      </c>
      <c r="K155" s="43">
        <f>EO!K155+Finance!K155+HR!K155+Security!K155+IT!K155</f>
        <v>0</v>
      </c>
      <c r="L155" s="43">
        <f>EO!L155+Finance!L155+HR!L155+Security!L155+IT!L155</f>
        <v>0</v>
      </c>
      <c r="M155" s="43">
        <f>EO!M155+Finance!M155+HR!M155+Security!M155+IT!M155</f>
        <v>0</v>
      </c>
      <c r="N155" s="43">
        <f>EO!N155+Finance!N155+HR!N155+Security!N155+IT!N155</f>
        <v>0</v>
      </c>
      <c r="O155" s="43">
        <f>EO!O155+Finance!O155+HR!O155+Security!O155+IT!O155</f>
        <v>65433.03</v>
      </c>
      <c r="P155" s="43">
        <f>EO!P155+Finance!P155+HR!P155+Security!P155+IT!P155</f>
        <v>65433.03</v>
      </c>
      <c r="Q155" s="3">
        <f t="shared" si="8"/>
        <v>130866.06</v>
      </c>
      <c r="R155" s="39">
        <f>Q155/Summary!$Q$16</f>
        <v>1.6430090512926131E-3</v>
      </c>
      <c r="S155" s="39"/>
      <c r="T155" s="35"/>
      <c r="U155" s="40" t="e">
        <f t="shared" si="7"/>
        <v>#DIV/0!</v>
      </c>
    </row>
    <row r="156" spans="1:21" s="3" customFormat="1" ht="25.4" customHeight="1">
      <c r="A156" s="3" t="s">
        <v>996</v>
      </c>
      <c r="B156" s="3" t="s">
        <v>51</v>
      </c>
      <c r="D156" s="26" t="s">
        <v>997</v>
      </c>
      <c r="E156" s="43">
        <f>EO!E156+Finance!E156+HR!E156+Security!E156+IT!E156</f>
        <v>9000</v>
      </c>
      <c r="F156" s="43">
        <f>EO!F156+Finance!F156+HR!F156+Security!F156+IT!F156</f>
        <v>9000</v>
      </c>
      <c r="G156" s="43">
        <f>EO!G156+Finance!G156+HR!G156+Security!G156+IT!G156</f>
        <v>9000</v>
      </c>
      <c r="H156" s="43">
        <f>EO!H156+Finance!H156+HR!H156+Security!H156+IT!H156</f>
        <v>9000</v>
      </c>
      <c r="I156" s="43">
        <f>EO!I156+Finance!I156+HR!I156+Security!I156+IT!I156</f>
        <v>9000</v>
      </c>
      <c r="J156" s="43">
        <f>EO!J156+Finance!J156+HR!J156+Security!J156+IT!J156</f>
        <v>9000</v>
      </c>
      <c r="K156" s="43">
        <f>EO!K156+Finance!K156+HR!K156+Security!K156+IT!K156</f>
        <v>9000</v>
      </c>
      <c r="L156" s="43">
        <f>EO!L156+Finance!L156+HR!L156+Security!L156+IT!L156</f>
        <v>9000</v>
      </c>
      <c r="M156" s="43">
        <f>EO!M156+Finance!M156+HR!M156+Security!M156+IT!M156</f>
        <v>9000</v>
      </c>
      <c r="N156" s="43">
        <f>EO!N156+Finance!N156+HR!N156+Security!N156+IT!N156</f>
        <v>9000</v>
      </c>
      <c r="O156" s="43">
        <f>EO!O156+Finance!O156+HR!O156+Security!O156+IT!O156</f>
        <v>9000</v>
      </c>
      <c r="P156" s="43">
        <f>EO!P156+Finance!P156+HR!P156+Security!P156+IT!P156</f>
        <v>9000</v>
      </c>
      <c r="Q156" s="3">
        <f t="shared" si="8"/>
        <v>108000</v>
      </c>
      <c r="R156" s="39">
        <f>Q156/Summary!$Q$16</f>
        <v>1.3559281722060113E-3</v>
      </c>
      <c r="S156" s="39"/>
      <c r="T156" s="35"/>
      <c r="U156" s="40" t="e">
        <f t="shared" si="7"/>
        <v>#DIV/0!</v>
      </c>
    </row>
    <row r="157" spans="1:21" s="3" customFormat="1" ht="25.4" customHeight="1">
      <c r="A157" s="3" t="s">
        <v>595</v>
      </c>
      <c r="B157" s="3" t="s">
        <v>51</v>
      </c>
      <c r="D157" s="26" t="s">
        <v>596</v>
      </c>
      <c r="E157" s="43">
        <f>EO!E157+Finance!E157+HR!E157+Security!E157+IT!E157</f>
        <v>1900</v>
      </c>
      <c r="F157" s="43">
        <f>EO!F157+Finance!F157+HR!F157+Security!F157+IT!F157</f>
        <v>1900</v>
      </c>
      <c r="G157" s="43">
        <f>EO!G157+Finance!G157+HR!G157+Security!G157+IT!G157</f>
        <v>1900</v>
      </c>
      <c r="H157" s="43">
        <f>EO!H157+Finance!H157+HR!H157+Security!H157+IT!H157</f>
        <v>1900</v>
      </c>
      <c r="I157" s="43">
        <f>EO!I157+Finance!I157+HR!I157+Security!I157+IT!I157</f>
        <v>1900</v>
      </c>
      <c r="J157" s="43">
        <f>EO!J157+Finance!J157+HR!J157+Security!J157+IT!J157</f>
        <v>1900</v>
      </c>
      <c r="K157" s="43">
        <f>EO!K157+Finance!K157+HR!K157+Security!K157+IT!K157</f>
        <v>2400</v>
      </c>
      <c r="L157" s="43">
        <f>EO!L157+Finance!L157+HR!L157+Security!L157+IT!L157</f>
        <v>2400</v>
      </c>
      <c r="M157" s="43">
        <f>EO!M157+Finance!M157+HR!M157+Security!M157+IT!M157</f>
        <v>2400</v>
      </c>
      <c r="N157" s="43">
        <f>EO!N157+Finance!N157+HR!N157+Security!N157+IT!N157</f>
        <v>2400</v>
      </c>
      <c r="O157" s="43">
        <f>EO!O157+Finance!O157+HR!O157+Security!O157+IT!O157</f>
        <v>2400</v>
      </c>
      <c r="P157" s="43">
        <f>EO!P157+Finance!P157+HR!P157+Security!P157+IT!P157</f>
        <v>2400</v>
      </c>
      <c r="Q157" s="3">
        <f t="shared" si="8"/>
        <v>25800</v>
      </c>
      <c r="R157" s="39">
        <f>Q157/Summary!$Q$16</f>
        <v>3.2391617447143604E-4</v>
      </c>
      <c r="S157" s="39"/>
      <c r="T157" s="35"/>
      <c r="U157" s="40" t="e">
        <f t="shared" ref="U157:U159" si="9">-IF(Q157-T157=0,0,(Q157-T157)/T157)</f>
        <v>#DIV/0!</v>
      </c>
    </row>
    <row r="158" spans="1:21" s="19" customFormat="1" ht="25.4" customHeight="1">
      <c r="D158" s="21" t="s">
        <v>597</v>
      </c>
      <c r="E158" s="45">
        <f>SUM(E15:E157)</f>
        <v>124538.12573333333</v>
      </c>
      <c r="F158" s="45">
        <f t="shared" ref="F158:Q158" si="10">SUM(F15:F157)</f>
        <v>126318.11833333335</v>
      </c>
      <c r="G158" s="45">
        <f t="shared" si="10"/>
        <v>122804.84853333334</v>
      </c>
      <c r="H158" s="45">
        <f t="shared" si="10"/>
        <v>140997.40813333335</v>
      </c>
      <c r="I158" s="45">
        <f t="shared" si="10"/>
        <v>132464.54713333334</v>
      </c>
      <c r="J158" s="45">
        <f t="shared" si="10"/>
        <v>131340.52433333333</v>
      </c>
      <c r="K158" s="45">
        <f t="shared" si="10"/>
        <v>193901.98853333332</v>
      </c>
      <c r="L158" s="45">
        <f t="shared" si="10"/>
        <v>124370.33453333334</v>
      </c>
      <c r="M158" s="45">
        <f t="shared" si="10"/>
        <v>133216.82133333333</v>
      </c>
      <c r="N158" s="45">
        <f t="shared" si="10"/>
        <v>171396.68873333331</v>
      </c>
      <c r="O158" s="45">
        <f t="shared" si="10"/>
        <v>195899.11773333332</v>
      </c>
      <c r="P158" s="45">
        <f t="shared" si="10"/>
        <v>204278.05053333333</v>
      </c>
      <c r="Q158" s="45">
        <f t="shared" si="10"/>
        <v>1801526.5736</v>
      </c>
      <c r="R158" s="39">
        <f>Q158/Summary!$Q$16</f>
        <v>2.2617968834463022E-2</v>
      </c>
      <c r="S158" s="39"/>
      <c r="T158" s="35"/>
      <c r="U158" s="40" t="e">
        <f t="shared" si="9"/>
        <v>#DIV/0!</v>
      </c>
    </row>
    <row r="159" spans="1:21" s="19" customFormat="1" ht="25.4" customHeight="1">
      <c r="D159" s="21" t="s">
        <v>598</v>
      </c>
      <c r="E159" s="45">
        <f>+E12+E158</f>
        <v>865404.51573333319</v>
      </c>
      <c r="F159" s="45">
        <f t="shared" ref="F159:Q159" si="11">+F12+F158</f>
        <v>850938.1183333334</v>
      </c>
      <c r="G159" s="45">
        <f t="shared" si="11"/>
        <v>845911.91853333334</v>
      </c>
      <c r="H159" s="45">
        <f t="shared" si="11"/>
        <v>869122.95813333325</v>
      </c>
      <c r="I159" s="45">
        <f t="shared" si="11"/>
        <v>867076.90713333338</v>
      </c>
      <c r="J159" s="45">
        <f t="shared" si="11"/>
        <v>852211.08433333342</v>
      </c>
      <c r="K159" s="45">
        <f t="shared" si="11"/>
        <v>914143.29853333323</v>
      </c>
      <c r="L159" s="45">
        <f t="shared" si="11"/>
        <v>844695.78453333327</v>
      </c>
      <c r="M159" s="45">
        <f t="shared" si="11"/>
        <v>853630.53133333335</v>
      </c>
      <c r="N159" s="45">
        <f t="shared" si="11"/>
        <v>914525.3387333334</v>
      </c>
      <c r="O159" s="45">
        <f t="shared" si="11"/>
        <v>915940.27773333341</v>
      </c>
      <c r="P159" s="45">
        <f t="shared" si="11"/>
        <v>924122.76053333329</v>
      </c>
      <c r="Q159" s="45">
        <f t="shared" si="11"/>
        <v>10517723.4936</v>
      </c>
      <c r="R159" s="39">
        <f>Q159/Summary!$Q$16</f>
        <v>0.13204886659671547</v>
      </c>
      <c r="S159" s="39"/>
      <c r="T159" s="35"/>
      <c r="U159" s="40" t="e">
        <f t="shared" si="9"/>
        <v>#DIV/0!</v>
      </c>
    </row>
    <row r="160" spans="1:21" s="3" customFormat="1" ht="25.4" hidden="1" customHeight="1">
      <c r="A160" s="77" t="s">
        <v>599</v>
      </c>
      <c r="B160" s="3" t="s">
        <v>51</v>
      </c>
      <c r="D160" s="42" t="s">
        <v>353</v>
      </c>
      <c r="E160" s="68">
        <f t="shared" ref="E160:Q160" si="12">+E159</f>
        <v>865404.51573333319</v>
      </c>
      <c r="F160" s="68">
        <f t="shared" si="12"/>
        <v>850938.1183333334</v>
      </c>
      <c r="G160" s="68">
        <f t="shared" si="12"/>
        <v>845911.91853333334</v>
      </c>
      <c r="H160" s="68">
        <f t="shared" si="12"/>
        <v>869122.95813333325</v>
      </c>
      <c r="I160" s="68">
        <f t="shared" si="12"/>
        <v>867076.90713333338</v>
      </c>
      <c r="J160" s="68">
        <f t="shared" si="12"/>
        <v>852211.08433333342</v>
      </c>
      <c r="K160" s="68">
        <f t="shared" si="12"/>
        <v>914143.29853333323</v>
      </c>
      <c r="L160" s="68">
        <f t="shared" si="12"/>
        <v>844695.78453333327</v>
      </c>
      <c r="M160" s="68">
        <f t="shared" si="12"/>
        <v>853630.53133333335</v>
      </c>
      <c r="N160" s="68">
        <f t="shared" si="12"/>
        <v>914525.3387333334</v>
      </c>
      <c r="O160" s="68">
        <f t="shared" si="12"/>
        <v>915940.27773333341</v>
      </c>
      <c r="P160" s="68">
        <f t="shared" si="12"/>
        <v>924122.76053333329</v>
      </c>
      <c r="Q160" s="3">
        <f t="shared" si="12"/>
        <v>10517723.4936</v>
      </c>
      <c r="T160" s="35"/>
      <c r="U160" s="40" t="e">
        <f>IF(Q160-T160=0,0,(Q160-T160)/T160)</f>
        <v>#DIV/0!</v>
      </c>
    </row>
    <row r="161" spans="1:21" s="3" customFormat="1" ht="25.4" customHeight="1">
      <c r="D161" s="42"/>
      <c r="E161" s="68"/>
      <c r="F161" s="68"/>
      <c r="G161" s="68"/>
      <c r="H161" s="68"/>
      <c r="I161" s="68"/>
      <c r="Q161" s="3">
        <f>Q159-IT!Q159</f>
        <v>9990177.8736000005</v>
      </c>
      <c r="T161" s="35"/>
      <c r="U161" s="40"/>
    </row>
    <row r="162" spans="1:21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T162" s="35"/>
      <c r="U162" s="40"/>
    </row>
    <row r="163" spans="1:21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T163" s="35"/>
      <c r="U163" s="40"/>
    </row>
    <row r="164" spans="1:21" s="3" customFormat="1" ht="25.4" customHeight="1">
      <c r="A164" s="253" t="s">
        <v>297</v>
      </c>
      <c r="B164" s="51" t="s">
        <v>51</v>
      </c>
      <c r="D164" s="26" t="s">
        <v>299</v>
      </c>
      <c r="E164" s="43">
        <f>EO!E164+Finance!E164+HR!E164+Security!E164+IT!E164</f>
        <v>267730</v>
      </c>
      <c r="F164" s="43">
        <f>EO!F164+Finance!F164+HR!F164+Security!F164+IT!F164</f>
        <v>267730</v>
      </c>
      <c r="G164" s="43">
        <f>EO!G164+Finance!G164+HR!G164+Security!G164+IT!G164</f>
        <v>267730</v>
      </c>
      <c r="H164" s="43">
        <f>EO!H164+Finance!H164+HR!H164+Security!H164+IT!H164</f>
        <v>267730</v>
      </c>
      <c r="I164" s="43">
        <f>EO!I164+Finance!I164+HR!I164+Security!I164+IT!I164</f>
        <v>267730</v>
      </c>
      <c r="J164" s="43">
        <f>EO!J164+Finance!J164+HR!J164+Security!J164+IT!J164</f>
        <v>267730</v>
      </c>
      <c r="K164" s="43">
        <f>EO!K164+Finance!K164+HR!K164+Security!K164+IT!K164</f>
        <v>267730</v>
      </c>
      <c r="L164" s="43">
        <f>EO!L164+Finance!L164+HR!L164+Security!L164+IT!L164</f>
        <v>267730</v>
      </c>
      <c r="M164" s="43">
        <f>EO!M164+Finance!M164+HR!M164+Security!M164+IT!M164</f>
        <v>267730</v>
      </c>
      <c r="N164" s="43">
        <f>EO!N164+Finance!N164+HR!N164+Security!N164+IT!N164</f>
        <v>267730</v>
      </c>
      <c r="O164" s="43">
        <f>EO!O164+Finance!O164+HR!O164+Security!O164+IT!O164</f>
        <v>267730</v>
      </c>
      <c r="P164" s="43">
        <f>EO!P164+Finance!P164+HR!P164+Security!P164+IT!P164</f>
        <v>267730</v>
      </c>
      <c r="Q164" s="3">
        <f>SUM(E164:P164)</f>
        <v>3212760</v>
      </c>
      <c r="R164" s="39">
        <f>Q164/Summary!$Q$16</f>
        <v>4.0335849949412826E-2</v>
      </c>
      <c r="S164" s="39"/>
      <c r="T164" s="35"/>
      <c r="U164" s="40" t="e">
        <f>-IF(Q164-T164=0,0,(Q164-T164)/T164)</f>
        <v>#DIV/0!</v>
      </c>
    </row>
    <row r="165" spans="1:21" s="3" customFormat="1" ht="25.4" customHeight="1">
      <c r="A165" s="50" t="s">
        <v>300</v>
      </c>
      <c r="B165" s="51" t="s">
        <v>51</v>
      </c>
      <c r="D165" s="26" t="s">
        <v>434</v>
      </c>
      <c r="E165" s="43">
        <f>EO!E165+Finance!E165+HR!E165+Security!E165+IT!E165</f>
        <v>155100</v>
      </c>
      <c r="F165" s="43">
        <f>EO!F165+Finance!F165+HR!F165+Security!F165+IT!F165</f>
        <v>155100</v>
      </c>
      <c r="G165" s="43">
        <f>EO!G165+Finance!G165+HR!G165+Security!G165+IT!G165</f>
        <v>155100</v>
      </c>
      <c r="H165" s="43">
        <f>EO!H165+Finance!H165+HR!H165+Security!H165+IT!H165</f>
        <v>155100</v>
      </c>
      <c r="I165" s="43">
        <f>EO!I165+Finance!I165+HR!I165+Security!I165+IT!I165</f>
        <v>155100</v>
      </c>
      <c r="J165" s="43">
        <f>EO!J165+Finance!J165+HR!J165+Security!J165+IT!J165</f>
        <v>155100</v>
      </c>
      <c r="K165" s="43">
        <f>EO!K165+Finance!K165+HR!K165+Security!K165+IT!K165</f>
        <v>155100</v>
      </c>
      <c r="L165" s="43">
        <f>EO!L165+Finance!L165+HR!L165+Security!L165+IT!L165</f>
        <v>155100</v>
      </c>
      <c r="M165" s="43">
        <f>EO!M165+Finance!M165+HR!M165+Security!M165+IT!M165</f>
        <v>155100</v>
      </c>
      <c r="N165" s="43">
        <f>EO!N165+Finance!N165+HR!N165+Security!N165+IT!N165</f>
        <v>155100</v>
      </c>
      <c r="O165" s="43">
        <f>EO!O165+Finance!O165+HR!O165+Security!O165+IT!O165</f>
        <v>155100</v>
      </c>
      <c r="P165" s="43">
        <f>EO!P165+Finance!P165+HR!P165+Security!P165+IT!P165</f>
        <v>155100</v>
      </c>
      <c r="Q165" s="3">
        <f>SUM(E165:P165)</f>
        <v>1861200</v>
      </c>
      <c r="R165" s="39">
        <f>Q165/Summary!$Q$16</f>
        <v>2.3367162167683597E-2</v>
      </c>
      <c r="S165" s="39"/>
      <c r="T165" s="35"/>
      <c r="U165" s="40" t="e">
        <f>-IF(Q165-T165=0,0,(Q165-T165)/T165)</f>
        <v>#DIV/0!</v>
      </c>
    </row>
    <row r="166" spans="1:21" s="3" customFormat="1" ht="25.4" customHeight="1">
      <c r="B166" s="51"/>
      <c r="D166" s="21" t="s">
        <v>437</v>
      </c>
      <c r="E166" s="52">
        <f>SUM(E164:E165)</f>
        <v>422830</v>
      </c>
      <c r="F166" s="52">
        <f t="shared" ref="F166:Q166" si="13">SUM(F164:F165)</f>
        <v>422830</v>
      </c>
      <c r="G166" s="52">
        <f t="shared" si="13"/>
        <v>422830</v>
      </c>
      <c r="H166" s="52">
        <f t="shared" si="13"/>
        <v>422830</v>
      </c>
      <c r="I166" s="52">
        <f t="shared" si="13"/>
        <v>422830</v>
      </c>
      <c r="J166" s="52">
        <f t="shared" si="13"/>
        <v>422830</v>
      </c>
      <c r="K166" s="52">
        <f t="shared" si="13"/>
        <v>422830</v>
      </c>
      <c r="L166" s="52">
        <f t="shared" si="13"/>
        <v>422830</v>
      </c>
      <c r="M166" s="52">
        <f t="shared" si="13"/>
        <v>422830</v>
      </c>
      <c r="N166" s="52">
        <f t="shared" si="13"/>
        <v>422830</v>
      </c>
      <c r="O166" s="52">
        <f t="shared" si="13"/>
        <v>422830</v>
      </c>
      <c r="P166" s="52">
        <f t="shared" si="13"/>
        <v>422830</v>
      </c>
      <c r="Q166" s="52">
        <f t="shared" si="13"/>
        <v>5073960</v>
      </c>
      <c r="R166" s="39">
        <f>Q166/Summary!$Q$16</f>
        <v>6.3703012117096419E-2</v>
      </c>
      <c r="S166" s="39"/>
      <c r="T166" s="35"/>
      <c r="U166" s="40" t="e">
        <f>-IF(Q166-T166=0,0,(Q166-T166)/T166)</f>
        <v>#DIV/0!</v>
      </c>
    </row>
    <row r="167" spans="1:21" s="3" customFormat="1" ht="25.4" customHeight="1">
      <c r="B167" s="51"/>
      <c r="E167" s="53"/>
      <c r="F167" s="53"/>
      <c r="G167" s="53"/>
      <c r="H167" s="25"/>
      <c r="I167" s="25"/>
      <c r="T167" s="35"/>
      <c r="U167" s="40"/>
    </row>
    <row r="168" spans="1:21" s="3" customFormat="1" ht="25.4" customHeight="1">
      <c r="A168" s="254" t="s">
        <v>603</v>
      </c>
      <c r="B168" s="51" t="s">
        <v>51</v>
      </c>
      <c r="D168" s="26" t="s">
        <v>309</v>
      </c>
      <c r="E168" s="43">
        <f>EO!E168+Finance!E168+HR!E168+Security!E168+IT!E168</f>
        <v>34914.899999999994</v>
      </c>
      <c r="F168" s="43">
        <f>EO!F168+Finance!F168+HR!F168+Security!F168+IT!F168</f>
        <v>18721.8</v>
      </c>
      <c r="G168" s="43">
        <f>EO!G168+Finance!G168+HR!G168+Security!G168+IT!G168</f>
        <v>18721.8</v>
      </c>
      <c r="H168" s="43">
        <f>EO!H168+Finance!H168+HR!H168+Security!H168+IT!H168</f>
        <v>23579.690000000002</v>
      </c>
      <c r="I168" s="43">
        <f>EO!I168+Finance!I168+HR!I168+Security!I168+IT!I168</f>
        <v>31427.97</v>
      </c>
      <c r="J168" s="43">
        <f>EO!J168+Finance!J168+HR!J168+Security!J168+IT!J168</f>
        <v>18721.8</v>
      </c>
      <c r="K168" s="43">
        <f>EO!K168+Finance!K168+HR!K168+Security!K168+IT!K168</f>
        <v>18721.8</v>
      </c>
      <c r="L168" s="43">
        <f>EO!L168+Finance!L168+HR!L168+Security!L168+IT!L168</f>
        <v>18721.8</v>
      </c>
      <c r="M168" s="43">
        <f>EO!M168+Finance!M168+HR!M168+Security!M168+IT!M168</f>
        <v>18721.8</v>
      </c>
      <c r="N168" s="43">
        <f>EO!N168+Finance!N168+HR!N168+Security!N168+IT!N168</f>
        <v>41190.769999999997</v>
      </c>
      <c r="O168" s="43">
        <f>EO!O168+Finance!O168+HR!O168+Security!O168+IT!O168</f>
        <v>18721.8</v>
      </c>
      <c r="P168" s="43">
        <f>EO!P168+Finance!P168+HR!P168+Security!P168+IT!P168</f>
        <v>18721.8</v>
      </c>
      <c r="Q168" s="3">
        <f t="shared" ref="Q168:Q174" si="14">SUM(E168:P168)</f>
        <v>280887.72999999992</v>
      </c>
      <c r="R168" s="39">
        <f>Q168/Summary!$Q$16</f>
        <v>3.5265146882777361E-3</v>
      </c>
      <c r="S168" s="39"/>
      <c r="T168" s="35"/>
      <c r="U168" s="40" t="e">
        <f>-IF(Q168-T168=0,0,(Q168-T168)/T168)</f>
        <v>#DIV/0!</v>
      </c>
    </row>
    <row r="169" spans="1:21" s="3" customFormat="1" ht="25.4" customHeight="1">
      <c r="A169" s="54" t="s">
        <v>310</v>
      </c>
      <c r="B169" s="51" t="s">
        <v>51</v>
      </c>
      <c r="D169" s="26" t="s">
        <v>311</v>
      </c>
      <c r="E169" s="43">
        <f>EO!E169+Finance!E169+HR!E169+Security!E169+IT!E169</f>
        <v>5285.38</v>
      </c>
      <c r="F169" s="43">
        <f>EO!F169+Finance!F169+HR!F169+Security!F169+IT!F169</f>
        <v>5285.38</v>
      </c>
      <c r="G169" s="43">
        <f>EO!G169+Finance!G169+HR!G169+Security!G169+IT!G169</f>
        <v>5285.38</v>
      </c>
      <c r="H169" s="43">
        <f>EO!H169+Finance!H169+HR!H169+Security!H169+IT!H169</f>
        <v>5285.38</v>
      </c>
      <c r="I169" s="43">
        <f>EO!I169+Finance!I169+HR!I169+Security!I169+IT!I169</f>
        <v>5285.38</v>
      </c>
      <c r="J169" s="43">
        <f>EO!J169+Finance!J169+HR!J169+Security!J169+IT!J169</f>
        <v>5285.38</v>
      </c>
      <c r="K169" s="43">
        <f>EO!K169+Finance!K169+HR!K169+Security!K169+IT!K169</f>
        <v>5285.38</v>
      </c>
      <c r="L169" s="43">
        <f>EO!L169+Finance!L169+HR!L169+Security!L169+IT!L169</f>
        <v>5285.38</v>
      </c>
      <c r="M169" s="43">
        <f>EO!M169+Finance!M169+HR!M169+Security!M169+IT!M169</f>
        <v>5285.38</v>
      </c>
      <c r="N169" s="43">
        <f>EO!N169+Finance!N169+HR!N169+Security!N169+IT!N169</f>
        <v>5285.38</v>
      </c>
      <c r="O169" s="43">
        <f>EO!O169+Finance!O169+HR!O169+Security!O169+IT!O169</f>
        <v>5285.38</v>
      </c>
      <c r="P169" s="43">
        <f>EO!P169+Finance!P169+HR!P169+Security!P169+IT!P169</f>
        <v>5285.38</v>
      </c>
      <c r="Q169" s="3">
        <f t="shared" si="14"/>
        <v>63424.55999999999</v>
      </c>
      <c r="R169" s="39">
        <f>Q169/Summary!$Q$16</f>
        <v>7.9628840475713409E-4</v>
      </c>
      <c r="S169" s="39"/>
      <c r="T169" s="35"/>
      <c r="U169" s="40" t="e">
        <f>-IF(Q169-T169=0,0,(Q169-T169)/T169)</f>
        <v>#DIV/0!</v>
      </c>
    </row>
    <row r="170" spans="1:21" s="3" customFormat="1" ht="25.4" customHeight="1">
      <c r="A170" s="254" t="s">
        <v>604</v>
      </c>
      <c r="B170" s="51" t="s">
        <v>51</v>
      </c>
      <c r="D170" s="26" t="s">
        <v>313</v>
      </c>
      <c r="E170" s="43">
        <f>EO!E170+Finance!E170+HR!E170+Security!E170+IT!E170</f>
        <v>17100</v>
      </c>
      <c r="F170" s="43">
        <f>EO!F170+Finance!F170+HR!F170+Security!F170+IT!F170</f>
        <v>17100</v>
      </c>
      <c r="G170" s="43">
        <f>EO!G170+Finance!G170+HR!G170+Security!G170+IT!G170</f>
        <v>17100</v>
      </c>
      <c r="H170" s="43">
        <f>EO!H170+Finance!H170+HR!H170+Security!H170+IT!H170</f>
        <v>17100</v>
      </c>
      <c r="I170" s="43">
        <f>EO!I170+Finance!I170+HR!I170+Security!I170+IT!I170</f>
        <v>17100</v>
      </c>
      <c r="J170" s="43">
        <f>EO!J170+Finance!J170+HR!J170+Security!J170+IT!J170</f>
        <v>17100</v>
      </c>
      <c r="K170" s="43">
        <f>EO!K170+Finance!K170+HR!K170+Security!K170+IT!K170</f>
        <v>17100</v>
      </c>
      <c r="L170" s="43">
        <f>EO!L170+Finance!L170+HR!L170+Security!L170+IT!L170</f>
        <v>17100</v>
      </c>
      <c r="M170" s="43">
        <f>EO!M170+Finance!M170+HR!M170+Security!M170+IT!M170</f>
        <v>17100</v>
      </c>
      <c r="N170" s="43">
        <f>EO!N170+Finance!N170+HR!N170+Security!N170+IT!N170</f>
        <v>17100</v>
      </c>
      <c r="O170" s="43">
        <f>EO!O170+Finance!O170+HR!O170+Security!O170+IT!O170</f>
        <v>17100</v>
      </c>
      <c r="P170" s="43">
        <f>EO!P170+Finance!P170+HR!P170+Security!P170+IT!P170</f>
        <v>17100</v>
      </c>
      <c r="Q170" s="3">
        <f t="shared" si="14"/>
        <v>205200</v>
      </c>
      <c r="R170" s="39">
        <f>Q170/Summary!$Q$16</f>
        <v>2.5762635271914217E-3</v>
      </c>
      <c r="S170" s="39"/>
      <c r="T170" s="35"/>
      <c r="U170" s="40" t="e">
        <f>-IF(Q170-T170=0,0,(Q170-T170)/T170)</f>
        <v>#DIV/0!</v>
      </c>
    </row>
    <row r="171" spans="1:21" s="3" customFormat="1" ht="25.4" customHeight="1">
      <c r="A171" s="254" t="s">
        <v>605</v>
      </c>
      <c r="B171" s="51" t="s">
        <v>51</v>
      </c>
      <c r="D171" s="26" t="s">
        <v>315</v>
      </c>
      <c r="E171" s="43">
        <f>EO!E171+Finance!E171+HR!E171+Security!E171+IT!E171</f>
        <v>0</v>
      </c>
      <c r="F171" s="43">
        <f>EO!F171+Finance!F171+HR!F171+Security!F171+IT!F171</f>
        <v>0</v>
      </c>
      <c r="G171" s="43">
        <f>EO!G171+Finance!G171+HR!G171+Security!G171+IT!G171</f>
        <v>0</v>
      </c>
      <c r="H171" s="43">
        <f>EO!H171+Finance!H171+HR!H171+Security!H171+IT!H171</f>
        <v>0</v>
      </c>
      <c r="I171" s="43">
        <f>EO!I171+Finance!I171+HR!I171+Security!I171+IT!I171</f>
        <v>0</v>
      </c>
      <c r="J171" s="43">
        <f>EO!J171+Finance!J171+HR!J171+Security!J171+IT!J171</f>
        <v>0</v>
      </c>
      <c r="K171" s="43">
        <f>EO!K171+Finance!K171+HR!K171+Security!K171+IT!K171</f>
        <v>0</v>
      </c>
      <c r="L171" s="43">
        <f>EO!L171+Finance!L171+HR!L171+Security!L171+IT!L171</f>
        <v>0</v>
      </c>
      <c r="M171" s="43">
        <f>EO!M171+Finance!M171+HR!M171+Security!M171+IT!M171</f>
        <v>0</v>
      </c>
      <c r="N171" s="43">
        <f>EO!N171+Finance!N171+HR!N171+Security!N171+IT!N171</f>
        <v>0</v>
      </c>
      <c r="O171" s="43">
        <f>EO!O171+Finance!O171+HR!O171+Security!O171+IT!O171</f>
        <v>0</v>
      </c>
      <c r="P171" s="43">
        <f>EO!P171+Finance!P171+HR!P171+Security!P171+IT!P171</f>
        <v>0</v>
      </c>
      <c r="Q171" s="3">
        <f t="shared" si="14"/>
        <v>0</v>
      </c>
      <c r="R171" s="39">
        <f>Q171/Summary!$Q$16</f>
        <v>0</v>
      </c>
      <c r="S171" s="39"/>
      <c r="T171" s="35"/>
      <c r="U171" s="40"/>
    </row>
    <row r="172" spans="1:21" s="3" customFormat="1" ht="25.4" customHeight="1">
      <c r="A172" s="254" t="s">
        <v>606</v>
      </c>
      <c r="B172" s="51" t="s">
        <v>51</v>
      </c>
      <c r="D172" s="26" t="s">
        <v>317</v>
      </c>
      <c r="E172" s="43">
        <f>EO!E172+Finance!E172+HR!E172+Security!E172+IT!E172</f>
        <v>0</v>
      </c>
      <c r="F172" s="43">
        <f>EO!F172+Finance!F172+HR!F172+Security!F172+IT!F172</f>
        <v>0</v>
      </c>
      <c r="G172" s="43">
        <f>EO!G172+Finance!G172+HR!G172+Security!G172+IT!G172</f>
        <v>0</v>
      </c>
      <c r="H172" s="43">
        <f>EO!H172+Finance!H172+HR!H172+Security!H172+IT!H172</f>
        <v>0</v>
      </c>
      <c r="I172" s="43">
        <f>EO!I172+Finance!I172+HR!I172+Security!I172+IT!I172</f>
        <v>0</v>
      </c>
      <c r="J172" s="43">
        <f>EO!J172+Finance!J172+HR!J172+Security!J172+IT!J172</f>
        <v>0</v>
      </c>
      <c r="K172" s="43">
        <f>EO!K172+Finance!K172+HR!K172+Security!K172+IT!K172</f>
        <v>0</v>
      </c>
      <c r="L172" s="43">
        <f>EO!L172+Finance!L172+HR!L172+Security!L172+IT!L172</f>
        <v>0</v>
      </c>
      <c r="M172" s="43">
        <f>EO!M172+Finance!M172+HR!M172+Security!M172+IT!M172</f>
        <v>0</v>
      </c>
      <c r="N172" s="43">
        <f>EO!N172+Finance!N172+HR!N172+Security!N172+IT!N172</f>
        <v>0</v>
      </c>
      <c r="O172" s="43">
        <f>EO!O172+Finance!O172+HR!O172+Security!O172+IT!O172</f>
        <v>0</v>
      </c>
      <c r="P172" s="43">
        <f>EO!P172+Finance!P172+HR!P172+Security!P172+IT!P172</f>
        <v>0</v>
      </c>
      <c r="Q172" s="3">
        <f t="shared" si="14"/>
        <v>0</v>
      </c>
      <c r="R172" s="39">
        <f>Q172/Summary!$Q$16</f>
        <v>0</v>
      </c>
      <c r="S172" s="39"/>
      <c r="T172" s="35"/>
      <c r="U172" s="40"/>
    </row>
    <row r="173" spans="1:21" s="3" customFormat="1" ht="25.4" customHeight="1">
      <c r="A173" s="254" t="s">
        <v>1066</v>
      </c>
      <c r="B173" s="51" t="s">
        <v>51</v>
      </c>
      <c r="D173" s="26" t="s">
        <v>1132</v>
      </c>
      <c r="E173" s="43">
        <f>EO!E173+Finance!E173+HR!E173+Security!E173+IT!E173</f>
        <v>0</v>
      </c>
      <c r="F173" s="43">
        <f>EO!F173+Finance!F173+HR!F173+Security!F173+IT!F173</f>
        <v>0</v>
      </c>
      <c r="G173" s="43">
        <f>EO!G173+Finance!G173+HR!G173+Security!G173+IT!G173</f>
        <v>0</v>
      </c>
      <c r="H173" s="43">
        <f>EO!H173+Finance!H173+HR!H173+Security!H173+IT!H173</f>
        <v>0</v>
      </c>
      <c r="I173" s="43">
        <f>EO!I173+Finance!I173+HR!I173+Security!I173+IT!I173</f>
        <v>0</v>
      </c>
      <c r="J173" s="43">
        <f>EO!J173+Finance!J173+HR!J173+Security!J173+IT!J173</f>
        <v>0</v>
      </c>
      <c r="K173" s="43">
        <f>EO!K173+Finance!K173+HR!K173+Security!K173+IT!K173</f>
        <v>0</v>
      </c>
      <c r="L173" s="43">
        <f>EO!L173+Finance!L173+HR!L173+Security!L173+IT!L173</f>
        <v>0</v>
      </c>
      <c r="M173" s="43">
        <f>EO!M173+Finance!M173+HR!M173+Security!M173+IT!M173</f>
        <v>0</v>
      </c>
      <c r="N173" s="43">
        <f>EO!N173+Finance!N173+HR!N173+Security!N173+IT!N173</f>
        <v>0</v>
      </c>
      <c r="O173" s="43">
        <f>EO!O173+Finance!O173+HR!O173+Security!O173+IT!O173</f>
        <v>0</v>
      </c>
      <c r="P173" s="43">
        <f>EO!P173+Finance!P173+HR!P173+Security!P173+IT!P173</f>
        <v>0</v>
      </c>
      <c r="Q173" s="3">
        <f t="shared" ref="Q173" si="15">SUM(E173:P173)</f>
        <v>0</v>
      </c>
      <c r="R173" s="39">
        <f>Q173/Summary!$Q$16</f>
        <v>0</v>
      </c>
      <c r="S173" s="39"/>
      <c r="T173" s="35"/>
      <c r="U173" s="40">
        <f>-IF(Q173-T173=0,0,(Q173-T173)/T173)</f>
        <v>0</v>
      </c>
    </row>
    <row r="174" spans="1:21" s="3" customFormat="1" ht="25.4" customHeight="1">
      <c r="A174" s="254" t="s">
        <v>1066</v>
      </c>
      <c r="B174" s="51" t="s">
        <v>51</v>
      </c>
      <c r="D174" s="26" t="s">
        <v>1070</v>
      </c>
      <c r="E174" s="43">
        <f>EO!E174+Finance!E174+HR!E174+Security!E174+IT!E174</f>
        <v>66319.5</v>
      </c>
      <c r="F174" s="43">
        <f>EO!F174+Finance!F174+HR!F174+Security!F174+IT!F174</f>
        <v>66215.37</v>
      </c>
      <c r="G174" s="43">
        <f>EO!G174+Finance!G174+HR!G174+Security!G174+IT!G174</f>
        <v>66134.16</v>
      </c>
      <c r="H174" s="43">
        <f>EO!H174+Finance!H174+HR!H174+Security!H174+IT!H174</f>
        <v>66161.91</v>
      </c>
      <c r="I174" s="43">
        <f>EO!I174+Finance!I174+HR!I174+Security!I174+IT!I174</f>
        <v>66037</v>
      </c>
      <c r="J174" s="43">
        <f>EO!J174+Finance!J174+HR!J174+Security!J174+IT!J174</f>
        <v>65931.66</v>
      </c>
      <c r="K174" s="43">
        <f>EO!K174+Finance!K174+HR!K174+Security!K174+IT!K174</f>
        <v>65883.789999999994</v>
      </c>
      <c r="L174" s="43">
        <f>EO!L174+Finance!L174+HR!L174+Security!L174+IT!L174</f>
        <v>65894.539999999994</v>
      </c>
      <c r="M174" s="43">
        <f>EO!M174+Finance!M174+HR!M174+Security!M174+IT!M174</f>
        <v>65918.429999999993</v>
      </c>
      <c r="N174" s="43">
        <f>EO!N174+Finance!N174+HR!N174+Security!N174+IT!N174</f>
        <v>65962.27</v>
      </c>
      <c r="O174" s="43">
        <f>EO!O174+Finance!O174+HR!O174+Security!O174+IT!O174</f>
        <v>65889.460000000006</v>
      </c>
      <c r="P174" s="43">
        <f>EO!P174+Finance!P174+HR!P174+Security!P174+IT!P174</f>
        <v>65870.539999999994</v>
      </c>
      <c r="Q174" s="3">
        <f t="shared" si="14"/>
        <v>792218.62999999989</v>
      </c>
      <c r="R174" s="39">
        <f>Q174/Summary!$Q$16</f>
        <v>9.946218138550466E-3</v>
      </c>
      <c r="S174" s="39"/>
      <c r="T174" s="35"/>
      <c r="U174" s="40" t="e">
        <f>-IF(Q174-T174=0,0,(Q174-T174)/T174)</f>
        <v>#DIV/0!</v>
      </c>
    </row>
    <row r="175" spans="1:21" s="19" customFormat="1" ht="25.4" customHeight="1">
      <c r="A175" s="54"/>
      <c r="B175" s="51"/>
      <c r="D175" s="19" t="s">
        <v>318</v>
      </c>
      <c r="E175" s="52">
        <f t="shared" ref="E175:Q175" si="16">SUM(E168:E174)</f>
        <v>123619.78</v>
      </c>
      <c r="F175" s="52">
        <f t="shared" si="16"/>
        <v>107322.54999999999</v>
      </c>
      <c r="G175" s="52">
        <f t="shared" si="16"/>
        <v>107241.34</v>
      </c>
      <c r="H175" s="52">
        <f t="shared" si="16"/>
        <v>112126.98000000001</v>
      </c>
      <c r="I175" s="52">
        <f t="shared" si="16"/>
        <v>119850.35</v>
      </c>
      <c r="J175" s="52">
        <f t="shared" si="16"/>
        <v>107038.84</v>
      </c>
      <c r="K175" s="52">
        <f t="shared" si="16"/>
        <v>106990.97</v>
      </c>
      <c r="L175" s="52">
        <f t="shared" si="16"/>
        <v>107001.72</v>
      </c>
      <c r="M175" s="52">
        <f t="shared" si="16"/>
        <v>107025.60999999999</v>
      </c>
      <c r="N175" s="52">
        <f t="shared" si="16"/>
        <v>129538.42</v>
      </c>
      <c r="O175" s="52">
        <f t="shared" si="16"/>
        <v>106996.64000000001</v>
      </c>
      <c r="P175" s="52">
        <f t="shared" si="16"/>
        <v>106977.72</v>
      </c>
      <c r="Q175" s="52">
        <f t="shared" si="16"/>
        <v>1341730.92</v>
      </c>
      <c r="R175" s="39">
        <f>Q175/Summary!$Q$16</f>
        <v>1.6845284758776759E-2</v>
      </c>
      <c r="S175" s="39"/>
      <c r="T175" s="35"/>
      <c r="U175" s="40" t="e">
        <f>-IF(Q175-T175=0,0,(Q175-T175)/T175)</f>
        <v>#DIV/0!</v>
      </c>
    </row>
    <row r="176" spans="1:21" s="3" customFormat="1" ht="25.4" customHeight="1">
      <c r="A176" s="50"/>
      <c r="D176" s="19"/>
      <c r="E176" s="53"/>
      <c r="F176" s="53"/>
      <c r="G176" s="53"/>
      <c r="H176" s="25"/>
      <c r="I176" s="25"/>
      <c r="T176" s="35"/>
      <c r="U176" s="40"/>
    </row>
    <row r="177" spans="1:21" s="3" customFormat="1" ht="25.4" customHeight="1">
      <c r="A177" s="254" t="s">
        <v>609</v>
      </c>
      <c r="B177" s="51" t="s">
        <v>51</v>
      </c>
      <c r="D177" s="26" t="s">
        <v>320</v>
      </c>
      <c r="E177" s="63">
        <f>EO!E177+Finance!E177+HR!E177+Security!E177+IT!E177</f>
        <v>57139.950000000004</v>
      </c>
      <c r="F177" s="63">
        <f>EO!F177+Finance!F177+HR!F177+Security!F177+IT!F177</f>
        <v>57139.95</v>
      </c>
      <c r="G177" s="63">
        <f>EO!G177+Finance!G177+HR!G177+Security!G177+IT!G177</f>
        <v>57139.95</v>
      </c>
      <c r="H177" s="63">
        <f>EO!H177+Finance!H177+HR!H177+Security!H177+IT!H177</f>
        <v>57139.95</v>
      </c>
      <c r="I177" s="63">
        <f>EO!I177+Finance!I177+HR!I177+Security!I177+IT!I177</f>
        <v>57139.95</v>
      </c>
      <c r="J177" s="63">
        <f>EO!J177+Finance!J177+HR!J177+Security!J177+IT!J177</f>
        <v>57139.95</v>
      </c>
      <c r="K177" s="63">
        <f>EO!K177+Finance!K177+HR!K177+Security!K177+IT!K177</f>
        <v>57139.95</v>
      </c>
      <c r="L177" s="63">
        <f>EO!L177+Finance!L177+HR!L177+Security!L177+IT!L177</f>
        <v>57139.95</v>
      </c>
      <c r="M177" s="63">
        <f>EO!M177+Finance!M177+HR!M177+Security!M177+IT!M177</f>
        <v>57139.95</v>
      </c>
      <c r="N177" s="63">
        <f>EO!N177+Finance!N177+HR!N177+Security!N177+IT!N177</f>
        <v>57139.95</v>
      </c>
      <c r="O177" s="63">
        <f>EO!O177+Finance!O177+HR!O177+Security!O177+IT!O177</f>
        <v>57139.95</v>
      </c>
      <c r="P177" s="63">
        <f>EO!P177+Finance!P177+HR!P177+Security!P177+IT!P177</f>
        <v>57139.95</v>
      </c>
      <c r="Q177" s="3">
        <f>SUM(E177:P177)</f>
        <v>685679.39999999991</v>
      </c>
      <c r="R177" s="39">
        <f>Q177/Summary!$Q$16</f>
        <v>8.6086297737158739E-3</v>
      </c>
      <c r="S177" s="39"/>
      <c r="T177" s="35"/>
      <c r="U177" s="40" t="e">
        <f t="shared" ref="U177:U185" si="17">-IF(Q177-T177=0,0,(Q177-T177)/T177)</f>
        <v>#DIV/0!</v>
      </c>
    </row>
    <row r="178" spans="1:21" s="3" customFormat="1" ht="25.4" customHeight="1">
      <c r="A178" s="254" t="s">
        <v>610</v>
      </c>
      <c r="B178" s="51" t="s">
        <v>51</v>
      </c>
      <c r="D178" s="26" t="s">
        <v>322</v>
      </c>
      <c r="E178" s="63">
        <f>EO!E178+Finance!E178+HR!E178+Security!E178+IT!E178</f>
        <v>20568.36</v>
      </c>
      <c r="F178" s="63">
        <f>EO!F178+Finance!F178+HR!F178+Security!F178+IT!F178</f>
        <v>20568.36</v>
      </c>
      <c r="G178" s="63">
        <f>EO!G178+Finance!G178+HR!G178+Security!G178+IT!G178</f>
        <v>20568.36</v>
      </c>
      <c r="H178" s="63">
        <f>EO!H178+Finance!H178+HR!H178+Security!H178+IT!H178</f>
        <v>20568.36</v>
      </c>
      <c r="I178" s="63">
        <f>EO!I178+Finance!I178+HR!I178+Security!I178+IT!I178</f>
        <v>20568.36</v>
      </c>
      <c r="J178" s="63">
        <f>EO!J178+Finance!J178+HR!J178+Security!J178+IT!J178</f>
        <v>20568.36</v>
      </c>
      <c r="K178" s="63">
        <f>EO!K178+Finance!K178+HR!K178+Security!K178+IT!K178</f>
        <v>20568.36</v>
      </c>
      <c r="L178" s="63">
        <f>EO!L178+Finance!L178+HR!L178+Security!L178+IT!L178</f>
        <v>20568.36</v>
      </c>
      <c r="M178" s="63">
        <f>EO!M178+Finance!M178+HR!M178+Security!M178+IT!M178</f>
        <v>20568.36</v>
      </c>
      <c r="N178" s="63">
        <f>EO!N178+Finance!N178+HR!N178+Security!N178+IT!N178</f>
        <v>20568.36</v>
      </c>
      <c r="O178" s="63">
        <f>EO!O178+Finance!O178+HR!O178+Security!O178+IT!O178</f>
        <v>20568.36</v>
      </c>
      <c r="P178" s="63">
        <f>EO!P178+Finance!P178+HR!P178+Security!P178+IT!P178</f>
        <v>20568.36</v>
      </c>
      <c r="Q178" s="3">
        <f t="shared" ref="Q178:Q184" si="18">SUM(E178:P178)</f>
        <v>246820.31999999995</v>
      </c>
      <c r="R178" s="39">
        <f>Q178/Summary!$Q$16</f>
        <v>3.0988020866750256E-3</v>
      </c>
      <c r="S178" s="39"/>
      <c r="T178" s="35"/>
      <c r="U178" s="40" t="e">
        <f t="shared" si="17"/>
        <v>#DIV/0!</v>
      </c>
    </row>
    <row r="179" spans="1:21" s="3" customFormat="1" ht="25.4" customHeight="1">
      <c r="A179" s="254" t="s">
        <v>611</v>
      </c>
      <c r="B179" s="51" t="s">
        <v>51</v>
      </c>
      <c r="D179" s="26" t="s">
        <v>324</v>
      </c>
      <c r="E179" s="63">
        <f>EO!E179+Finance!E179+HR!E179+Security!E179+IT!E179</f>
        <v>3102.1999999999994</v>
      </c>
      <c r="F179" s="63">
        <f>EO!F179+Finance!F179+HR!F179+Security!F179+IT!F179</f>
        <v>3102.2000000000003</v>
      </c>
      <c r="G179" s="63">
        <f>EO!G179+Finance!G179+HR!G179+Security!G179+IT!G179</f>
        <v>3102.2000000000003</v>
      </c>
      <c r="H179" s="63">
        <f>EO!H179+Finance!H179+HR!H179+Security!H179+IT!H179</f>
        <v>3102.2000000000003</v>
      </c>
      <c r="I179" s="63">
        <f>EO!I179+Finance!I179+HR!I179+Security!I179+IT!I179</f>
        <v>3102.2000000000003</v>
      </c>
      <c r="J179" s="63">
        <f>EO!J179+Finance!J179+HR!J179+Security!J179+IT!J179</f>
        <v>3102.2000000000003</v>
      </c>
      <c r="K179" s="63">
        <f>EO!K179+Finance!K179+HR!K179+Security!K179+IT!K179</f>
        <v>3102.2000000000003</v>
      </c>
      <c r="L179" s="63">
        <f>EO!L179+Finance!L179+HR!L179+Security!L179+IT!L179</f>
        <v>3102.2000000000003</v>
      </c>
      <c r="M179" s="63">
        <f>EO!M179+Finance!M179+HR!M179+Security!M179+IT!M179</f>
        <v>3102.2000000000003</v>
      </c>
      <c r="N179" s="63">
        <f>EO!N179+Finance!N179+HR!N179+Security!N179+IT!N179</f>
        <v>3102.2000000000003</v>
      </c>
      <c r="O179" s="63">
        <f>EO!O179+Finance!O179+HR!O179+Security!O179+IT!O179</f>
        <v>3102.2000000000003</v>
      </c>
      <c r="P179" s="63">
        <f>EO!P179+Finance!P179+HR!P179+Security!P179+IT!P179</f>
        <v>3102.2000000000003</v>
      </c>
      <c r="Q179" s="3">
        <f t="shared" si="18"/>
        <v>37226.400000000001</v>
      </c>
      <c r="R179" s="39">
        <f>Q179/Summary!$Q$16</f>
        <v>4.6737337509083208E-4</v>
      </c>
      <c r="S179" s="39"/>
      <c r="T179" s="35"/>
      <c r="U179" s="40" t="e">
        <f t="shared" si="17"/>
        <v>#DIV/0!</v>
      </c>
    </row>
    <row r="180" spans="1:21" s="3" customFormat="1" ht="25.4" customHeight="1">
      <c r="A180" s="254" t="s">
        <v>612</v>
      </c>
      <c r="B180" s="51" t="s">
        <v>51</v>
      </c>
      <c r="D180" s="26" t="s">
        <v>326</v>
      </c>
      <c r="E180" s="63">
        <f>EO!E180+Finance!E180+HR!E180+Security!E180+IT!E180</f>
        <v>1691.32</v>
      </c>
      <c r="F180" s="63">
        <f>EO!F180+Finance!F180+HR!F180+Security!F180+IT!F180</f>
        <v>1691.32</v>
      </c>
      <c r="G180" s="63">
        <f>EO!G180+Finance!G180+HR!G180+Security!G180+IT!G180</f>
        <v>1691.32</v>
      </c>
      <c r="H180" s="63">
        <f>EO!H180+Finance!H180+HR!H180+Security!H180+IT!H180</f>
        <v>1691.32</v>
      </c>
      <c r="I180" s="63">
        <f>EO!I180+Finance!I180+HR!I180+Security!I180+IT!I180</f>
        <v>1691.32</v>
      </c>
      <c r="J180" s="63">
        <f>EO!J180+Finance!J180+HR!J180+Security!J180+IT!J180</f>
        <v>1691.32</v>
      </c>
      <c r="K180" s="63">
        <f>EO!K180+Finance!K180+HR!K180+Security!K180+IT!K180</f>
        <v>1691.32</v>
      </c>
      <c r="L180" s="63">
        <f>EO!L180+Finance!L180+HR!L180+Security!L180+IT!L180</f>
        <v>1691.32</v>
      </c>
      <c r="M180" s="63">
        <f>EO!M180+Finance!M180+HR!M180+Security!M180+IT!M180</f>
        <v>1691.32</v>
      </c>
      <c r="N180" s="63">
        <f>EO!N180+Finance!N180+HR!N180+Security!N180+IT!N180</f>
        <v>1691.32</v>
      </c>
      <c r="O180" s="63">
        <f>EO!O180+Finance!O180+HR!O180+Security!O180+IT!O180</f>
        <v>1691.32</v>
      </c>
      <c r="P180" s="63">
        <f>EO!P180+Finance!P180+HR!P180+Security!P180+IT!P180</f>
        <v>1691.32</v>
      </c>
      <c r="Q180" s="3">
        <f t="shared" si="18"/>
        <v>20295.84</v>
      </c>
      <c r="R180" s="39">
        <f>Q180/Summary!$Q$16</f>
        <v>2.548120484683857E-4</v>
      </c>
      <c r="S180" s="39"/>
      <c r="T180" s="35"/>
      <c r="U180" s="40" t="e">
        <f t="shared" si="17"/>
        <v>#DIV/0!</v>
      </c>
    </row>
    <row r="181" spans="1:21" s="3" customFormat="1" ht="25.4" customHeight="1">
      <c r="A181" s="254" t="s">
        <v>613</v>
      </c>
      <c r="B181" s="51" t="s">
        <v>51</v>
      </c>
      <c r="D181" s="26" t="s">
        <v>328</v>
      </c>
      <c r="E181" s="63">
        <f>EO!E181+Finance!E181+HR!E181+Security!E181+IT!E181</f>
        <v>0</v>
      </c>
      <c r="F181" s="63">
        <f>EO!F181+Finance!F181+HR!F181+Security!F181+IT!F181</f>
        <v>0</v>
      </c>
      <c r="G181" s="63">
        <f>EO!G181+Finance!G181+HR!G181+Security!G181+IT!G181</f>
        <v>0</v>
      </c>
      <c r="H181" s="63">
        <f>EO!H181+Finance!H181+HR!H181+Security!H181+IT!H181</f>
        <v>0</v>
      </c>
      <c r="I181" s="63">
        <f>EO!I181+Finance!I181+HR!I181+Security!I181+IT!I181</f>
        <v>0</v>
      </c>
      <c r="J181" s="63">
        <f>EO!J181+Finance!J181+HR!J181+Security!J181+IT!J181</f>
        <v>0</v>
      </c>
      <c r="K181" s="63">
        <f>EO!K181+Finance!K181+HR!K181+Security!K181+IT!K181</f>
        <v>0</v>
      </c>
      <c r="L181" s="63">
        <f>EO!L181+Finance!L181+HR!L181+Security!L181+IT!L181</f>
        <v>0</v>
      </c>
      <c r="M181" s="63">
        <f>EO!M181+Finance!M181+HR!M181+Security!M181+IT!M181</f>
        <v>0</v>
      </c>
      <c r="N181" s="63">
        <f>EO!N181+Finance!N181+HR!N181+Security!N181+IT!N181</f>
        <v>0</v>
      </c>
      <c r="O181" s="63">
        <f>EO!O181+Finance!O181+HR!O181+Security!O181+IT!O181</f>
        <v>0</v>
      </c>
      <c r="P181" s="63">
        <f>EO!P181+Finance!P181+HR!P181+Security!P181+IT!P181</f>
        <v>0</v>
      </c>
      <c r="Q181" s="3">
        <f t="shared" si="18"/>
        <v>0</v>
      </c>
      <c r="R181" s="39">
        <f>Q181/Summary!$Q$16</f>
        <v>0</v>
      </c>
      <c r="S181" s="39"/>
      <c r="T181" s="35"/>
      <c r="U181" s="40">
        <f t="shared" si="17"/>
        <v>0</v>
      </c>
    </row>
    <row r="182" spans="1:21" s="3" customFormat="1" ht="25.4" customHeight="1">
      <c r="A182" s="254" t="s">
        <v>614</v>
      </c>
      <c r="B182" s="51" t="s">
        <v>51</v>
      </c>
      <c r="D182" s="26" t="s">
        <v>330</v>
      </c>
      <c r="E182" s="63">
        <f>EO!E182+Finance!E182+HR!E182+Security!E182+IT!E182</f>
        <v>31331</v>
      </c>
      <c r="F182" s="63">
        <f>EO!F182+Finance!F182+HR!F182+Security!F182+IT!F182</f>
        <v>31331</v>
      </c>
      <c r="G182" s="63">
        <f>EO!G182+Finance!G182+HR!G182+Security!G182+IT!G182</f>
        <v>31331</v>
      </c>
      <c r="H182" s="63">
        <f>EO!H182+Finance!H182+HR!H182+Security!H182+IT!H182</f>
        <v>31331</v>
      </c>
      <c r="I182" s="63">
        <f>EO!I182+Finance!I182+HR!I182+Security!I182+IT!I182</f>
        <v>31331</v>
      </c>
      <c r="J182" s="63">
        <f>EO!J182+Finance!J182+HR!J182+Security!J182+IT!J182</f>
        <v>31331</v>
      </c>
      <c r="K182" s="63">
        <f>EO!K182+Finance!K182+HR!K182+Security!K182+IT!K182</f>
        <v>31331</v>
      </c>
      <c r="L182" s="63">
        <f>EO!L182+Finance!L182+HR!L182+Security!L182+IT!L182</f>
        <v>31331</v>
      </c>
      <c r="M182" s="63">
        <f>EO!M182+Finance!M182+HR!M182+Security!M182+IT!M182</f>
        <v>31331</v>
      </c>
      <c r="N182" s="63">
        <f>EO!N182+Finance!N182+HR!N182+Security!N182+IT!N182</f>
        <v>31331</v>
      </c>
      <c r="O182" s="63">
        <f>EO!O182+Finance!O182+HR!O182+Security!O182+IT!O182</f>
        <v>31331</v>
      </c>
      <c r="P182" s="63">
        <f>EO!P182+Finance!P182+HR!P182+Security!P182+IT!P182</f>
        <v>31331</v>
      </c>
      <c r="Q182" s="3">
        <f t="shared" si="18"/>
        <v>375972</v>
      </c>
      <c r="R182" s="39">
        <f>Q182/Summary!$Q$16</f>
        <v>4.720287284820727E-3</v>
      </c>
      <c r="S182" s="39"/>
      <c r="T182" s="35"/>
      <c r="U182" s="40" t="e">
        <f t="shared" si="17"/>
        <v>#DIV/0!</v>
      </c>
    </row>
    <row r="183" spans="1:21" s="3" customFormat="1" ht="25.4" customHeight="1">
      <c r="A183" s="254" t="s">
        <v>615</v>
      </c>
      <c r="B183" s="51" t="s">
        <v>51</v>
      </c>
      <c r="D183" s="26" t="s">
        <v>332</v>
      </c>
      <c r="E183" s="63">
        <f>EO!E183+Finance!E183+HR!E183+Security!E183+IT!E183</f>
        <v>8456.5999999999985</v>
      </c>
      <c r="F183" s="63">
        <f>EO!F183+Finance!F183+HR!F183+Security!F183+IT!F183</f>
        <v>8456.5999999999985</v>
      </c>
      <c r="G183" s="63">
        <f>EO!G183+Finance!G183+HR!G183+Security!G183+IT!G183</f>
        <v>8456.5999999999985</v>
      </c>
      <c r="H183" s="63">
        <f>EO!H183+Finance!H183+HR!H183+Security!H183+IT!H183</f>
        <v>8456.5999999999985</v>
      </c>
      <c r="I183" s="63">
        <f>EO!I183+Finance!I183+HR!I183+Security!I183+IT!I183</f>
        <v>8456.5999999999985</v>
      </c>
      <c r="J183" s="63">
        <f>EO!J183+Finance!J183+HR!J183+Security!J183+IT!J183</f>
        <v>8456.5999999999985</v>
      </c>
      <c r="K183" s="63">
        <f>EO!K183+Finance!K183+HR!K183+Security!K183+IT!K183</f>
        <v>8456.5999999999985</v>
      </c>
      <c r="L183" s="63">
        <f>EO!L183+Finance!L183+HR!L183+Security!L183+IT!L183</f>
        <v>8456.5999999999985</v>
      </c>
      <c r="M183" s="63">
        <f>EO!M183+Finance!M183+HR!M183+Security!M183+IT!M183</f>
        <v>8456.5999999999985</v>
      </c>
      <c r="N183" s="63">
        <f>EO!N183+Finance!N183+HR!N183+Security!N183+IT!N183</f>
        <v>8456.5999999999985</v>
      </c>
      <c r="O183" s="63">
        <f>EO!O183+Finance!O183+HR!O183+Security!O183+IT!O183</f>
        <v>8456.5999999999985</v>
      </c>
      <c r="P183" s="63">
        <f>EO!P183+Finance!P183+HR!P183+Security!P183+IT!P183</f>
        <v>8456.5999999999985</v>
      </c>
      <c r="Q183" s="3">
        <f t="shared" si="18"/>
        <v>101479.20000000001</v>
      </c>
      <c r="R183" s="39">
        <f>Q183/Summary!$Q$16</f>
        <v>1.2740602423419285E-3</v>
      </c>
      <c r="S183" s="39"/>
      <c r="T183" s="35"/>
      <c r="U183" s="40" t="e">
        <f t="shared" si="17"/>
        <v>#DIV/0!</v>
      </c>
    </row>
    <row r="184" spans="1:21" s="3" customFormat="1" ht="25.4" customHeight="1">
      <c r="A184" s="254" t="s">
        <v>616</v>
      </c>
      <c r="B184" s="51" t="s">
        <v>51</v>
      </c>
      <c r="D184" s="26" t="s">
        <v>334</v>
      </c>
      <c r="E184" s="63">
        <f>EO!E184+Finance!E184+HR!E184+Security!E184+IT!E184</f>
        <v>0</v>
      </c>
      <c r="F184" s="63">
        <f>EO!F184+Finance!F184+HR!F184+Security!F184+IT!F184</f>
        <v>0</v>
      </c>
      <c r="G184" s="63">
        <f>EO!G184+Finance!G184+HR!G184+Security!G184+IT!G184</f>
        <v>0</v>
      </c>
      <c r="H184" s="63">
        <f>EO!H184+Finance!H184+HR!H184+Security!H184+IT!H184</f>
        <v>0</v>
      </c>
      <c r="I184" s="63">
        <f>EO!I184+Finance!I184+HR!I184+Security!I184+IT!I184</f>
        <v>0</v>
      </c>
      <c r="J184" s="63">
        <f>EO!J184+Finance!J184+HR!J184+Security!J184+IT!J184</f>
        <v>0</v>
      </c>
      <c r="K184" s="63">
        <f>EO!K184+Finance!K184+HR!K184+Security!K184+IT!K184</f>
        <v>0</v>
      </c>
      <c r="L184" s="63">
        <f>EO!L184+Finance!L184+HR!L184+Security!L184+IT!L184</f>
        <v>0</v>
      </c>
      <c r="M184" s="63">
        <f>EO!M184+Finance!M184+HR!M184+Security!M184+IT!M184</f>
        <v>0</v>
      </c>
      <c r="N184" s="63">
        <f>EO!N184+Finance!N184+HR!N184+Security!N184+IT!N184</f>
        <v>0</v>
      </c>
      <c r="O184" s="63">
        <f>EO!O184+Finance!O184+HR!O184+Security!O184+IT!O184</f>
        <v>0</v>
      </c>
      <c r="P184" s="63">
        <f>EO!P184+Finance!P184+HR!P184+Security!P184+IT!P184</f>
        <v>0</v>
      </c>
      <c r="Q184" s="3">
        <f t="shared" si="18"/>
        <v>0</v>
      </c>
      <c r="R184" s="39">
        <f>Q184/Summary!$Q$16</f>
        <v>0</v>
      </c>
      <c r="S184" s="39"/>
      <c r="T184" s="35"/>
      <c r="U184" s="40">
        <f t="shared" si="17"/>
        <v>0</v>
      </c>
    </row>
    <row r="185" spans="1:21" s="19" customFormat="1" ht="25.4" customHeight="1">
      <c r="A185" s="54"/>
      <c r="B185" s="51"/>
      <c r="D185" s="19" t="s">
        <v>335</v>
      </c>
      <c r="E185" s="45">
        <f>SUM(E177:E184)</f>
        <v>122289.43</v>
      </c>
      <c r="F185" s="45">
        <f t="shared" ref="F185:Q185" si="19">SUM(F177:F184)</f>
        <v>122289.43</v>
      </c>
      <c r="G185" s="45">
        <f t="shared" si="19"/>
        <v>122289.43</v>
      </c>
      <c r="H185" s="45">
        <f t="shared" si="19"/>
        <v>122289.43</v>
      </c>
      <c r="I185" s="45">
        <f t="shared" si="19"/>
        <v>122289.43</v>
      </c>
      <c r="J185" s="45">
        <f t="shared" si="19"/>
        <v>122289.43</v>
      </c>
      <c r="K185" s="45">
        <f t="shared" si="19"/>
        <v>122289.43</v>
      </c>
      <c r="L185" s="45">
        <f t="shared" si="19"/>
        <v>122289.43</v>
      </c>
      <c r="M185" s="45">
        <f t="shared" si="19"/>
        <v>122289.43</v>
      </c>
      <c r="N185" s="45">
        <f t="shared" si="19"/>
        <v>122289.43</v>
      </c>
      <c r="O185" s="45">
        <f t="shared" si="19"/>
        <v>122289.43</v>
      </c>
      <c r="P185" s="45">
        <f t="shared" si="19"/>
        <v>122289.43</v>
      </c>
      <c r="Q185" s="45">
        <f t="shared" si="19"/>
        <v>1467473.16</v>
      </c>
      <c r="R185" s="39">
        <f>Q185/Summary!$Q$16</f>
        <v>1.8423964811112775E-2</v>
      </c>
      <c r="S185" s="39"/>
      <c r="T185" s="35"/>
      <c r="U185" s="40" t="e">
        <f t="shared" si="17"/>
        <v>#DIV/0!</v>
      </c>
    </row>
    <row r="186" spans="1:21" s="19" customFormat="1" ht="25.4" customHeight="1">
      <c r="A186" s="54"/>
      <c r="B186" s="51"/>
      <c r="D186" s="21"/>
      <c r="E186" s="55"/>
      <c r="F186" s="55"/>
      <c r="G186" s="55"/>
      <c r="H186" s="56"/>
      <c r="I186" s="56"/>
      <c r="T186" s="35"/>
      <c r="U186" s="40"/>
    </row>
    <row r="187" spans="1:21" s="3" customFormat="1" ht="25.4" hidden="1" customHeight="1">
      <c r="A187" s="254" t="s">
        <v>617</v>
      </c>
      <c r="B187" s="51" t="s">
        <v>51</v>
      </c>
      <c r="D187" s="26" t="s">
        <v>337</v>
      </c>
      <c r="E187" s="63">
        <f>EO!E187+Finance!E187+HR!E187+Security!E187+IT!E187</f>
        <v>0</v>
      </c>
      <c r="F187" s="63">
        <f>EO!F187+Finance!F187+HR!F187+Security!F187+IT!F187</f>
        <v>0</v>
      </c>
      <c r="G187" s="63">
        <f>EO!G187+Finance!G187+HR!G187+Security!G187+IT!G187</f>
        <v>0</v>
      </c>
      <c r="H187" s="63">
        <f>EO!H187+Finance!H187+HR!H187+Security!H187+IT!H187</f>
        <v>0</v>
      </c>
      <c r="I187" s="63">
        <f>EO!I187+Finance!I187+HR!I187+Security!I187+IT!I187</f>
        <v>0</v>
      </c>
      <c r="J187" s="63">
        <f>EO!J187+Finance!J187+HR!J187+Security!J187+IT!J187</f>
        <v>0</v>
      </c>
      <c r="K187" s="63">
        <f>EO!K187+Finance!K187+HR!K187+Security!K187+IT!K187</f>
        <v>0</v>
      </c>
      <c r="L187" s="63">
        <f>EO!L187+Finance!L187+HR!L187+Security!L187+IT!L187</f>
        <v>0</v>
      </c>
      <c r="M187" s="63">
        <f>EO!M187+Finance!M187+HR!M187+Security!M187+IT!M187</f>
        <v>0</v>
      </c>
      <c r="N187" s="63">
        <f>EO!N187+Finance!N187+HR!N187+Security!N187+IT!N187</f>
        <v>0</v>
      </c>
      <c r="O187" s="63">
        <f>EO!O187+Finance!O187+HR!O187+Security!O187+IT!O187</f>
        <v>0</v>
      </c>
      <c r="P187" s="63">
        <f>EO!P187+Finance!P187+HR!P187+Security!P187+IT!P187</f>
        <v>0</v>
      </c>
      <c r="Q187" s="3">
        <f>SUM(E187:P187)</f>
        <v>0</v>
      </c>
      <c r="R187" s="39">
        <f>Q187/Summary!$Q$16</f>
        <v>0</v>
      </c>
      <c r="S187" s="39"/>
      <c r="T187" s="35"/>
      <c r="U187" s="40">
        <f t="shared" ref="U187:U196" si="20">-IF(Q187-T187=0,0,(Q187-T187)/T187)</f>
        <v>0</v>
      </c>
    </row>
    <row r="188" spans="1:21" s="3" customFormat="1" ht="25.4" hidden="1" customHeight="1">
      <c r="A188" s="254" t="s">
        <v>618</v>
      </c>
      <c r="B188" s="51" t="s">
        <v>51</v>
      </c>
      <c r="D188" s="3" t="s">
        <v>339</v>
      </c>
      <c r="E188" s="63">
        <f>EO!E188+Finance!E188+HR!E188+Security!E188+IT!E188</f>
        <v>0</v>
      </c>
      <c r="F188" s="63">
        <f>EO!F188+Finance!F188+HR!F188+Security!F188+IT!F188</f>
        <v>0</v>
      </c>
      <c r="G188" s="63">
        <f>EO!G188+Finance!G188+HR!G188+Security!G188+IT!G188</f>
        <v>0</v>
      </c>
      <c r="H188" s="63">
        <f>EO!H188+Finance!H188+HR!H188+Security!H188+IT!H188</f>
        <v>0</v>
      </c>
      <c r="I188" s="63">
        <f>EO!I188+Finance!I188+HR!I188+Security!I188+IT!I188</f>
        <v>0</v>
      </c>
      <c r="J188" s="63">
        <f>EO!J188+Finance!J188+HR!J188+Security!J188+IT!J188</f>
        <v>0</v>
      </c>
      <c r="K188" s="63">
        <f>EO!K188+Finance!K188+HR!K188+Security!K188+IT!K188</f>
        <v>0</v>
      </c>
      <c r="L188" s="63">
        <f>EO!L188+Finance!L188+HR!L188+Security!L188+IT!L188</f>
        <v>0</v>
      </c>
      <c r="M188" s="63">
        <f>EO!M188+Finance!M188+HR!M188+Security!M188+IT!M188</f>
        <v>0</v>
      </c>
      <c r="N188" s="63">
        <f>EO!N188+Finance!N188+HR!N188+Security!N188+IT!N188</f>
        <v>0</v>
      </c>
      <c r="O188" s="63">
        <f>EO!O188+Finance!O188+HR!O188+Security!O188+IT!O188</f>
        <v>0</v>
      </c>
      <c r="P188" s="63">
        <f>EO!P188+Finance!P188+HR!P188+Security!P188+IT!P188</f>
        <v>0</v>
      </c>
      <c r="Q188" s="3">
        <f t="shared" ref="Q188:Q194" si="21">SUM(E188:P188)</f>
        <v>0</v>
      </c>
      <c r="R188" s="39">
        <f>Q188/Summary!$Q$16</f>
        <v>0</v>
      </c>
      <c r="S188" s="39"/>
      <c r="T188" s="35"/>
      <c r="U188" s="40">
        <f t="shared" si="20"/>
        <v>0</v>
      </c>
    </row>
    <row r="189" spans="1:21" s="3" customFormat="1" ht="25.4" hidden="1" customHeight="1">
      <c r="A189" s="254" t="s">
        <v>619</v>
      </c>
      <c r="B189" s="51" t="s">
        <v>51</v>
      </c>
      <c r="D189" s="26" t="s">
        <v>341</v>
      </c>
      <c r="E189" s="63">
        <f>EO!E189+Finance!E189+HR!E189+Security!E189+IT!E189</f>
        <v>0</v>
      </c>
      <c r="F189" s="63">
        <f>EO!F189+Finance!F189+HR!F189+Security!F189+IT!F189</f>
        <v>0</v>
      </c>
      <c r="G189" s="63">
        <f>EO!G189+Finance!G189+HR!G189+Security!G189+IT!G189</f>
        <v>0</v>
      </c>
      <c r="H189" s="63">
        <f>EO!H189+Finance!H189+HR!H189+Security!H189+IT!H189</f>
        <v>0</v>
      </c>
      <c r="I189" s="63">
        <f>EO!I189+Finance!I189+HR!I189+Security!I189+IT!I189</f>
        <v>0</v>
      </c>
      <c r="J189" s="63">
        <f>EO!J189+Finance!J189+HR!J189+Security!J189+IT!J189</f>
        <v>0</v>
      </c>
      <c r="K189" s="63">
        <f>EO!K189+Finance!K189+HR!K189+Security!K189+IT!K189</f>
        <v>0</v>
      </c>
      <c r="L189" s="63">
        <f>EO!L189+Finance!L189+HR!L189+Security!L189+IT!L189</f>
        <v>0</v>
      </c>
      <c r="M189" s="63">
        <f>EO!M189+Finance!M189+HR!M189+Security!M189+IT!M189</f>
        <v>0</v>
      </c>
      <c r="N189" s="63">
        <f>EO!N189+Finance!N189+HR!N189+Security!N189+IT!N189</f>
        <v>0</v>
      </c>
      <c r="O189" s="63">
        <f>EO!O189+Finance!O189+HR!O189+Security!O189+IT!O189</f>
        <v>0</v>
      </c>
      <c r="P189" s="63">
        <f>EO!P189+Finance!P189+HR!P189+Security!P189+IT!P189</f>
        <v>0</v>
      </c>
      <c r="Q189" s="3">
        <f t="shared" si="21"/>
        <v>0</v>
      </c>
      <c r="R189" s="39">
        <f>Q189/Summary!$Q$16</f>
        <v>0</v>
      </c>
      <c r="S189" s="39"/>
      <c r="T189" s="35"/>
      <c r="U189" s="40">
        <f t="shared" si="20"/>
        <v>0</v>
      </c>
    </row>
    <row r="190" spans="1:21" s="3" customFormat="1" ht="25.4" hidden="1" customHeight="1">
      <c r="A190" s="254" t="s">
        <v>620</v>
      </c>
      <c r="B190" s="51" t="s">
        <v>51</v>
      </c>
      <c r="D190" s="26" t="s">
        <v>343</v>
      </c>
      <c r="E190" s="63">
        <f>EO!E190+Finance!E190+HR!E190+Security!E190+IT!E190</f>
        <v>0</v>
      </c>
      <c r="F190" s="63">
        <f>EO!F190+Finance!F190+HR!F190+Security!F190+IT!F190</f>
        <v>0</v>
      </c>
      <c r="G190" s="63">
        <f>EO!G190+Finance!G190+HR!G190+Security!G190+IT!G190</f>
        <v>0</v>
      </c>
      <c r="H190" s="63">
        <f>EO!H190+Finance!H190+HR!H190+Security!H190+IT!H190</f>
        <v>0</v>
      </c>
      <c r="I190" s="63">
        <f>EO!I190+Finance!I190+HR!I190+Security!I190+IT!I190</f>
        <v>0</v>
      </c>
      <c r="J190" s="63">
        <f>EO!J190+Finance!J190+HR!J190+Security!J190+IT!J190</f>
        <v>0</v>
      </c>
      <c r="K190" s="63">
        <f>EO!K190+Finance!K190+HR!K190+Security!K190+IT!K190</f>
        <v>0</v>
      </c>
      <c r="L190" s="63">
        <f>EO!L190+Finance!L190+HR!L190+Security!L190+IT!L190</f>
        <v>0</v>
      </c>
      <c r="M190" s="63">
        <f>EO!M190+Finance!M190+HR!M190+Security!M190+IT!M190</f>
        <v>0</v>
      </c>
      <c r="N190" s="63">
        <f>EO!N190+Finance!N190+HR!N190+Security!N190+IT!N190</f>
        <v>0</v>
      </c>
      <c r="O190" s="63">
        <f>EO!O190+Finance!O190+HR!O190+Security!O190+IT!O190</f>
        <v>0</v>
      </c>
      <c r="P190" s="63">
        <f>EO!P190+Finance!P190+HR!P190+Security!P190+IT!P190</f>
        <v>0</v>
      </c>
      <c r="Q190" s="3">
        <f t="shared" si="21"/>
        <v>0</v>
      </c>
      <c r="R190" s="39">
        <f>Q190/Summary!$Q$16</f>
        <v>0</v>
      </c>
      <c r="S190" s="39"/>
      <c r="T190" s="35"/>
      <c r="U190" s="40">
        <f t="shared" si="20"/>
        <v>0</v>
      </c>
    </row>
    <row r="191" spans="1:21" s="3" customFormat="1" ht="25.4" customHeight="1">
      <c r="A191" s="254" t="s">
        <v>621</v>
      </c>
      <c r="B191" s="51" t="s">
        <v>51</v>
      </c>
      <c r="D191" s="26" t="s">
        <v>345</v>
      </c>
      <c r="E191" s="63">
        <f>EO!E191+Finance!E191+HR!E191+Security!E191+IT!E191</f>
        <v>14359</v>
      </c>
      <c r="F191" s="63">
        <f>EO!F191+Finance!F191+HR!F191+Security!F191+IT!F191</f>
        <v>15179</v>
      </c>
      <c r="G191" s="63">
        <f>EO!G191+Finance!G191+HR!G191+Security!G191+IT!G191</f>
        <v>14359</v>
      </c>
      <c r="H191" s="63">
        <f>EO!H191+Finance!H191+HR!H191+Security!H191+IT!H191</f>
        <v>14359</v>
      </c>
      <c r="I191" s="63">
        <f>EO!I191+Finance!I191+HR!I191+Security!I191+IT!I191</f>
        <v>14359</v>
      </c>
      <c r="J191" s="63">
        <f>EO!J191+Finance!J191+HR!J191+Security!J191+IT!J191</f>
        <v>14359</v>
      </c>
      <c r="K191" s="63">
        <f>EO!K191+Finance!K191+HR!K191+Security!K191+IT!K191</f>
        <v>14359</v>
      </c>
      <c r="L191" s="63">
        <f>EO!L191+Finance!L191+HR!L191+Security!L191+IT!L191</f>
        <v>14359</v>
      </c>
      <c r="M191" s="63">
        <f>EO!M191+Finance!M191+HR!M191+Security!M191+IT!M191</f>
        <v>14359</v>
      </c>
      <c r="N191" s="63">
        <f>EO!N191+Finance!N191+HR!N191+Security!N191+IT!N191</f>
        <v>14359</v>
      </c>
      <c r="O191" s="63">
        <f>EO!O191+Finance!O191+HR!O191+Security!O191+IT!O191</f>
        <v>14359</v>
      </c>
      <c r="P191" s="63">
        <f>EO!P191+Finance!P191+HR!P191+Security!P191+IT!P191</f>
        <v>14359</v>
      </c>
      <c r="Q191" s="3">
        <f t="shared" si="21"/>
        <v>173128</v>
      </c>
      <c r="R191" s="39">
        <f>Q191/Summary!$Q$16</f>
        <v>2.17360307960817E-3</v>
      </c>
      <c r="S191" s="39"/>
      <c r="T191" s="35"/>
      <c r="U191" s="40" t="e">
        <f t="shared" si="20"/>
        <v>#DIV/0!</v>
      </c>
    </row>
    <row r="192" spans="1:21" s="3" customFormat="1" ht="25.4" customHeight="1">
      <c r="A192" s="254" t="s">
        <v>622</v>
      </c>
      <c r="B192" s="51" t="s">
        <v>51</v>
      </c>
      <c r="D192" s="26" t="s">
        <v>623</v>
      </c>
      <c r="E192" s="63">
        <f>HR!E192</f>
        <v>0</v>
      </c>
      <c r="F192" s="63">
        <f>HR!F192</f>
        <v>0</v>
      </c>
      <c r="G192" s="63">
        <f>HR!G192</f>
        <v>0</v>
      </c>
      <c r="H192" s="63">
        <f>HR!H192</f>
        <v>0</v>
      </c>
      <c r="I192" s="63">
        <f>HR!I192</f>
        <v>0</v>
      </c>
      <c r="J192" s="63">
        <f>HR!J192</f>
        <v>0</v>
      </c>
      <c r="K192" s="63">
        <f>HR!K192</f>
        <v>0</v>
      </c>
      <c r="L192" s="63">
        <f>HR!L192</f>
        <v>0</v>
      </c>
      <c r="M192" s="63">
        <f>HR!M192</f>
        <v>0</v>
      </c>
      <c r="N192" s="63">
        <f>HR!N192</f>
        <v>0</v>
      </c>
      <c r="O192" s="63">
        <f>HR!O192</f>
        <v>0</v>
      </c>
      <c r="P192" s="63">
        <f>HR!P192</f>
        <v>0</v>
      </c>
      <c r="Q192" s="3">
        <f t="shared" si="21"/>
        <v>0</v>
      </c>
      <c r="R192" s="39">
        <f>Q192/Summary!$Q$16</f>
        <v>0</v>
      </c>
      <c r="S192" s="39"/>
      <c r="T192" s="35"/>
      <c r="U192" s="40">
        <f t="shared" si="20"/>
        <v>0</v>
      </c>
    </row>
    <row r="193" spans="1:21" s="3" customFormat="1" ht="25.4" customHeight="1">
      <c r="A193" s="254" t="s">
        <v>346</v>
      </c>
      <c r="B193" s="51" t="s">
        <v>51</v>
      </c>
      <c r="D193" s="26" t="s">
        <v>347</v>
      </c>
      <c r="E193" s="63">
        <f>EO!E192+Finance!E192+HR!E193+Security!E192+IT!E192</f>
        <v>14584.929999999998</v>
      </c>
      <c r="F193" s="63">
        <f>EO!F192+Finance!F192+HR!F193+Security!F192+IT!F192</f>
        <v>14527.53</v>
      </c>
      <c r="G193" s="63">
        <f>EO!G192+Finance!G192+HR!G193+Security!G192+IT!G192</f>
        <v>14470.539999999999</v>
      </c>
      <c r="H193" s="63">
        <f>EO!H192+Finance!H192+HR!H193+Security!H192+IT!H192</f>
        <v>14413.960000000001</v>
      </c>
      <c r="I193" s="63">
        <f>EO!I192+Finance!I192+HR!I193+Security!I192+IT!I192</f>
        <v>14030.609999999999</v>
      </c>
      <c r="J193" s="63">
        <f>EO!J192+Finance!J192+HR!J193+Security!J192+IT!J192</f>
        <v>13820.28</v>
      </c>
      <c r="K193" s="63">
        <f>EO!K192+Finance!K192+HR!K193+Security!K192+IT!K192</f>
        <v>13566.080000000002</v>
      </c>
      <c r="L193" s="63">
        <f>EO!L192+Finance!L192+HR!L193+Security!L192+IT!L192</f>
        <v>13566.080000000002</v>
      </c>
      <c r="M193" s="63">
        <f>EO!M192+Finance!M192+HR!M193+Security!M192+IT!M192</f>
        <v>13467.270000000002</v>
      </c>
      <c r="N193" s="63">
        <f>EO!N192+Finance!N192+HR!N193+Security!N192+IT!N192</f>
        <v>13369.69</v>
      </c>
      <c r="O193" s="63">
        <f>EO!O192+Finance!O192+HR!O193+Security!O192+IT!O192</f>
        <v>13321.31</v>
      </c>
      <c r="P193" s="63">
        <f>EO!P192+Finance!P192+HR!P193+Security!P192+IT!P192</f>
        <v>13273.339999999998</v>
      </c>
      <c r="Q193" s="3">
        <f t="shared" si="21"/>
        <v>166411.62</v>
      </c>
      <c r="R193" s="39">
        <f>Q193/Summary!$Q$16</f>
        <v>2.0892796642633456E-3</v>
      </c>
      <c r="S193" s="39"/>
      <c r="T193" s="35"/>
      <c r="U193" s="40" t="e">
        <f t="shared" si="20"/>
        <v>#DIV/0!</v>
      </c>
    </row>
    <row r="194" spans="1:21" s="3" customFormat="1" ht="25.4" customHeight="1">
      <c r="A194" s="3" t="s">
        <v>624</v>
      </c>
      <c r="B194" s="51" t="s">
        <v>51</v>
      </c>
      <c r="D194" s="26" t="s">
        <v>349</v>
      </c>
      <c r="E194" s="63">
        <f>EO!E193+Finance!E193+HR!E194+Security!E193+IT!E193</f>
        <v>43183.25</v>
      </c>
      <c r="F194" s="63">
        <f>EO!F193+Finance!F193+HR!F194+Security!F193+IT!F193</f>
        <v>42471.489999999991</v>
      </c>
      <c r="G194" s="63">
        <f>EO!G193+Finance!G193+HR!G194+Security!G193+IT!G193</f>
        <v>41916.760000000009</v>
      </c>
      <c r="H194" s="63">
        <f>EO!H193+Finance!H193+HR!H194+Security!H193+IT!H193</f>
        <v>42106.179999999986</v>
      </c>
      <c r="I194" s="63">
        <f>EO!I193+Finance!I193+HR!I194+Security!I193+IT!I193</f>
        <v>41252.969999999994</v>
      </c>
      <c r="J194" s="63">
        <f>EO!J193+Finance!J193+HR!J194+Security!J193+IT!J193</f>
        <v>40533.010000000009</v>
      </c>
      <c r="K194" s="63">
        <f>EO!K193+Finance!K193+HR!K194+Security!K193+IT!K193</f>
        <v>40205.829999999987</v>
      </c>
      <c r="L194" s="63">
        <f>EO!L193+Finance!L193+HR!L194+Security!L193+IT!L193</f>
        <v>40279.219999999994</v>
      </c>
      <c r="M194" s="63">
        <f>EO!M193+Finance!M193+HR!M194+Security!M193+IT!M193</f>
        <v>40442.400000000001</v>
      </c>
      <c r="N194" s="63">
        <f>EO!N193+Finance!N193+HR!N194+Security!N193+IT!N193</f>
        <v>40742.109999999986</v>
      </c>
      <c r="O194" s="63">
        <f>EO!O193+Finance!O193+HR!O194+Security!O193+IT!O193</f>
        <v>40244.780000000006</v>
      </c>
      <c r="P194" s="63">
        <f>EO!P193+Finance!P193+HR!P194+Security!P193+IT!P193</f>
        <v>40115.219999999994</v>
      </c>
      <c r="Q194" s="3">
        <f t="shared" si="21"/>
        <v>493493.22</v>
      </c>
      <c r="R194" s="39">
        <f>Q194/Summary!$Q$16</f>
        <v>6.1957533313949905E-3</v>
      </c>
      <c r="S194" s="39"/>
      <c r="T194" s="35"/>
      <c r="U194" s="40" t="e">
        <f t="shared" si="20"/>
        <v>#DIV/0!</v>
      </c>
    </row>
    <row r="195" spans="1:21" s="3" customFormat="1" ht="25.4" customHeight="1">
      <c r="A195" s="54"/>
      <c r="B195" s="51"/>
      <c r="D195" s="19" t="s">
        <v>350</v>
      </c>
      <c r="E195" s="52">
        <f>SUM(E187:E194)</f>
        <v>72127.179999999993</v>
      </c>
      <c r="F195" s="52">
        <f t="shared" ref="F195:Q195" si="22">SUM(F187:F194)</f>
        <v>72178.01999999999</v>
      </c>
      <c r="G195" s="52">
        <f t="shared" si="22"/>
        <v>70746.300000000017</v>
      </c>
      <c r="H195" s="52">
        <f t="shared" si="22"/>
        <v>70879.139999999985</v>
      </c>
      <c r="I195" s="52">
        <f t="shared" si="22"/>
        <v>69642.579999999987</v>
      </c>
      <c r="J195" s="52">
        <f t="shared" si="22"/>
        <v>68712.290000000008</v>
      </c>
      <c r="K195" s="52">
        <f t="shared" si="22"/>
        <v>68130.909999999989</v>
      </c>
      <c r="L195" s="52">
        <f t="shared" si="22"/>
        <v>68204.299999999988</v>
      </c>
      <c r="M195" s="52">
        <f t="shared" si="22"/>
        <v>68268.670000000013</v>
      </c>
      <c r="N195" s="52">
        <f t="shared" si="22"/>
        <v>68470.799999999988</v>
      </c>
      <c r="O195" s="52">
        <f t="shared" si="22"/>
        <v>67925.09</v>
      </c>
      <c r="P195" s="52">
        <f t="shared" si="22"/>
        <v>67747.56</v>
      </c>
      <c r="Q195" s="52">
        <f t="shared" si="22"/>
        <v>833032.84</v>
      </c>
      <c r="R195" s="39">
        <f>Q195/Summary!$Q$16</f>
        <v>1.0458636075266507E-2</v>
      </c>
      <c r="S195" s="39"/>
      <c r="T195" s="35"/>
      <c r="U195" s="40" t="e">
        <f t="shared" si="20"/>
        <v>#DIV/0!</v>
      </c>
    </row>
    <row r="196" spans="1:21" s="3" customFormat="1" ht="25.4" customHeight="1">
      <c r="A196" s="54"/>
      <c r="B196" s="51"/>
      <c r="D196" s="19" t="s">
        <v>351</v>
      </c>
      <c r="E196" s="52">
        <f>E166+E175+E185+E195</f>
        <v>740866.3899999999</v>
      </c>
      <c r="F196" s="52">
        <f t="shared" ref="F196:Q196" si="23">F166+F175+F185+F195</f>
        <v>724620</v>
      </c>
      <c r="G196" s="52">
        <f t="shared" si="23"/>
        <v>723107.07000000007</v>
      </c>
      <c r="H196" s="52">
        <f t="shared" si="23"/>
        <v>728125.54999999993</v>
      </c>
      <c r="I196" s="52">
        <f t="shared" si="23"/>
        <v>734612.36</v>
      </c>
      <c r="J196" s="52">
        <f t="shared" si="23"/>
        <v>720870.56</v>
      </c>
      <c r="K196" s="52">
        <f t="shared" si="23"/>
        <v>720241.30999999994</v>
      </c>
      <c r="L196" s="52">
        <f t="shared" si="23"/>
        <v>720325.45</v>
      </c>
      <c r="M196" s="52">
        <f t="shared" si="23"/>
        <v>720413.71000000008</v>
      </c>
      <c r="N196" s="52">
        <f t="shared" si="23"/>
        <v>743128.65000000014</v>
      </c>
      <c r="O196" s="52">
        <f t="shared" si="23"/>
        <v>720041.16</v>
      </c>
      <c r="P196" s="52">
        <f t="shared" si="23"/>
        <v>719844.71</v>
      </c>
      <c r="Q196" s="52">
        <f t="shared" si="23"/>
        <v>8716196.9199999999</v>
      </c>
      <c r="R196" s="39">
        <f>Q196/Summary!$Q$16</f>
        <v>0.10943089776225245</v>
      </c>
      <c r="S196" s="39"/>
      <c r="T196" s="35"/>
      <c r="U196" s="40" t="e">
        <f t="shared" si="20"/>
        <v>#DIV/0!</v>
      </c>
    </row>
    <row r="197" spans="1:21" s="3" customFormat="1" ht="25.4" customHeight="1">
      <c r="A197" s="54"/>
      <c r="B197" s="51"/>
      <c r="D197" s="21"/>
      <c r="E197" s="53"/>
      <c r="F197" s="53"/>
      <c r="G197" s="53"/>
      <c r="H197" s="56"/>
      <c r="I197" s="56"/>
      <c r="Q197" s="3">
        <f>Q196-Q174-Q173</f>
        <v>7923978.29</v>
      </c>
      <c r="T197" s="35"/>
      <c r="U197" s="40"/>
    </row>
    <row r="198" spans="1:21" s="19" customFormat="1" ht="25.4" customHeight="1">
      <c r="A198" s="255" t="s">
        <v>108</v>
      </c>
      <c r="B198" s="69" t="s">
        <v>51</v>
      </c>
      <c r="D198" s="19" t="s">
        <v>354</v>
      </c>
      <c r="E198" s="62">
        <f>EO!E197+Finance!E197+HR!E198+Security!E197+IT!E197</f>
        <v>47</v>
      </c>
      <c r="F198" s="62">
        <f>EO!F197+Finance!F197+HR!F198+Security!F197+IT!F197</f>
        <v>47</v>
      </c>
      <c r="G198" s="62">
        <f>EO!G197+Finance!G197+HR!G198+Security!G197+IT!G197</f>
        <v>47</v>
      </c>
      <c r="H198" s="62">
        <f>EO!H197+Finance!H197+HR!H198+Security!H197+IT!H197</f>
        <v>47</v>
      </c>
      <c r="I198" s="62">
        <f>EO!I197+Finance!I197+HR!I198+Security!I197+IT!I197</f>
        <v>47</v>
      </c>
      <c r="J198" s="62">
        <f>EO!J197+Finance!J197+HR!J198+Security!J197+IT!J197</f>
        <v>47</v>
      </c>
      <c r="K198" s="62">
        <f>EO!K197+Finance!K197+HR!K198+Security!K197+IT!K197</f>
        <v>47</v>
      </c>
      <c r="L198" s="62">
        <f>EO!L197+Finance!L197+HR!L198+Security!L197+IT!L197</f>
        <v>47</v>
      </c>
      <c r="M198" s="62">
        <f>EO!M197+Finance!M197+HR!M198+Security!M197+IT!M197</f>
        <v>47</v>
      </c>
      <c r="N198" s="62">
        <f>EO!N197+Finance!N197+HR!N198+Security!N197+IT!N197</f>
        <v>47</v>
      </c>
      <c r="O198" s="62">
        <f>EO!O197+Finance!O197+HR!O198+Security!O197+IT!O197</f>
        <v>47</v>
      </c>
      <c r="P198" s="62">
        <f>EO!P197+Finance!P197+HR!P198+Security!P197+IT!P197</f>
        <v>47</v>
      </c>
      <c r="Q198" s="78">
        <f>SUM(E198:P198)/12</f>
        <v>47</v>
      </c>
      <c r="T198" s="35"/>
      <c r="U198" s="40" t="e">
        <f>-IF(Q198-T198=0,0,(Q198-T198)/T198)</f>
        <v>#DIV/0!</v>
      </c>
    </row>
    <row r="199" spans="1:21" ht="26.25" customHeight="1">
      <c r="E199" s="7">
        <f>E195+E185+E175-IT!E175-IT!E185-IT!E194</f>
        <v>312386.16000000003</v>
      </c>
      <c r="F199" s="7">
        <f>F195+F185+F175-IT!F175-IT!F185-IT!F194</f>
        <v>296138.53000000003</v>
      </c>
      <c r="G199" s="7">
        <f>G195+G185+G175-IT!G175-IT!G185-IT!G194</f>
        <v>294660.52</v>
      </c>
      <c r="H199" s="7">
        <f>H195+H185+H175-IT!H175-IT!H185-IT!H194</f>
        <v>299675.76</v>
      </c>
      <c r="I199" s="7">
        <f>I195+I185+I175-IT!I175-IT!I185-IT!I194</f>
        <v>306192.73</v>
      </c>
      <c r="J199" s="7">
        <f>J195+J185+J175-IT!J175-IT!J185-IT!J194</f>
        <v>292473.62</v>
      </c>
      <c r="K199" s="7">
        <f>K195+K185+K175-IT!K175-IT!K185-IT!K194</f>
        <v>291858.54999999993</v>
      </c>
      <c r="L199" s="7">
        <f>L195+L185+L175-IT!L175-IT!L185-IT!L194</f>
        <v>291940.89999999997</v>
      </c>
      <c r="M199" s="7">
        <f>M195+M185+M175-IT!M175-IT!M185-IT!M194</f>
        <v>292027.58999999997</v>
      </c>
      <c r="N199" s="7">
        <f>N195+N185+N175-IT!N175-IT!N185-IT!N194</f>
        <v>314737.59999999998</v>
      </c>
      <c r="O199" s="7">
        <f>O195+O185+O175-IT!O175-IT!O185-IT!O194</f>
        <v>291663.42000000004</v>
      </c>
      <c r="P199" s="7">
        <f>P195+P185+P175-IT!P175-IT!P185-IT!P194</f>
        <v>291471.3</v>
      </c>
      <c r="Q199" s="3">
        <f>Q196-IT!Q195</f>
        <v>8499186.6799999997</v>
      </c>
    </row>
    <row r="201" spans="1:21" ht="26.25" customHeight="1">
      <c r="P201" s="231" t="s">
        <v>1060</v>
      </c>
      <c r="Q201" s="232">
        <f>+Q166+Q175</f>
        <v>6415690.9199999999</v>
      </c>
    </row>
    <row r="202" spans="1:21" ht="26.25" customHeight="1">
      <c r="P202" s="231" t="s">
        <v>788</v>
      </c>
      <c r="Q202" s="232">
        <f>+Q185+Q195</f>
        <v>2300506</v>
      </c>
    </row>
    <row r="203" spans="1:21" ht="26.25" customHeight="1">
      <c r="P203" s="174"/>
      <c r="Q203" s="232">
        <f>SUM(Q201:Q202)-Q196</f>
        <v>0</v>
      </c>
    </row>
  </sheetData>
  <phoneticPr fontId="56" type="noConversion"/>
  <dataValidations count="22">
    <dataValidation type="textLength" errorStyle="information" allowBlank="1" showInputMessage="1" showErrorMessage="1" error="XLBVal:6=9711240_x000d__x000a_" sqref="Q165">
      <formula1>0</formula1>
      <formula2>300</formula2>
    </dataValidation>
    <dataValidation type="textLength" errorStyle="information" allowBlank="1" showInputMessage="1" showErrorMessage="1" error="XLBVal:6=3239.86_x000d__x000a_" sqref="E159:Q159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6=0_x000d__x000a_" sqref="E158:Q158">
      <formula1>0</formula1>
      <formula2>300</formula2>
    </dataValidation>
    <dataValidation type="textLength" errorStyle="information" allowBlank="1" showInputMessage="1" showErrorMessage="1" error="XLBVal:6=1064596.75_x000d__x000a_" sqref="E160:P160">
      <formula1>0</formula1>
      <formula2>300</formula2>
    </dataValidation>
    <dataValidation type="textLength" errorStyle="information" allowBlank="1" showInputMessage="1" showErrorMessage="1" error="XLBVal:2=0_x000d__x000a_" sqref="Q164 F170:Q170 Q172:Q174 Q187:Q194 E15:Q157 E164:P165 F13 E168:E174 F168:P169 F171:P174">
      <formula1>0</formula1>
      <formula2>300</formula2>
    </dataValidation>
    <dataValidation type="textLength" errorStyle="information" allowBlank="1" showInputMessage="1" showErrorMessage="1" error="XLBVal:6=34305_x000d__x000a_" sqref="E198:P198 E187:P194 E177:P184">
      <formula1>0</formula1>
      <formula2>300</formula2>
    </dataValidation>
    <dataValidation type="textLength" errorStyle="information" allowBlank="1" showInputMessage="1" showErrorMessage="1" sqref="H167:I167 H176:I176 H186:I186 F197:I197 E195:E197 F195:Q196 E162:E163 F162:I162 F163:P163">
      <formula1>0</formula1>
      <formula2>300</formula2>
    </dataValidation>
    <dataValidation type="textLength" errorStyle="information" allowBlank="1" showInputMessage="1" showErrorMessage="1" error="XLBVal:6=169013_x000d__x000a_" sqref="Q168">
      <formula1>0</formula1>
      <formula2>300</formula2>
    </dataValidation>
    <dataValidation type="textLength" errorStyle="information" allowBlank="1" showInputMessage="1" showErrorMessage="1" error="XLBVal:6=1820976_x000d__x000a_" sqref="Q169">
      <formula1>0</formula1>
      <formula2>300</formula2>
    </dataValidation>
    <dataValidation type="textLength" errorStyle="information" allowBlank="1" showInputMessage="1" showErrorMessage="1" error="XLBVal:6=4_x000d__x000a_" sqref="Q171">
      <formula1>0</formula1>
      <formula2>300</formula2>
    </dataValidation>
    <dataValidation type="textLength" errorStyle="information" allowBlank="1" showInputMessage="1" showErrorMessage="1" error="XLBVal:6=3678_x000d__x000a_" sqref="E185:Q185 E186:G186">
      <formula1>0</formula1>
      <formula2>300</formula2>
    </dataValidation>
    <dataValidation type="textLength" errorStyle="information" allowBlank="1" showInputMessage="1" showErrorMessage="1" error="XLBVal:6=1260_x000d__x000a_" sqref="Q198">
      <formula1>0</formula1>
      <formula2>300</formula2>
    </dataValidation>
    <dataValidation type="textLength" errorStyle="information" allowBlank="1" showInputMessage="1" showErrorMessage="1" error="XLBVal:6=6688509.16_x000d__x000a_" sqref="E13:E14 F14:P14">
      <formula1>0</formula1>
      <formula2>300</formula2>
    </dataValidation>
    <dataValidation type="textLength" errorStyle="information" allowBlank="1" showInputMessage="1" showErrorMessage="1" error="XLBVal:6=6595485.04_x000d__x000a_" sqref="G13">
      <formula1>0</formula1>
      <formula2>300</formula2>
    </dataValidation>
    <dataValidation type="textLength" errorStyle="information" allowBlank="1" showInputMessage="1" showErrorMessage="1" error="XLBVal:5=-2586288.67_x000d__x000a_" sqref="H13">
      <formula1>0</formula1>
      <formula2>300</formula2>
    </dataValidation>
    <dataValidation type="textLength" errorStyle="information" allowBlank="1" showInputMessage="1" showErrorMessage="1" error="XLBVal:5=15426.66_x000d__x000a_" sqref="I13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467_x000d__x000a_" sqref="P201:P202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5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/>
  <dimension ref="A1:U198"/>
  <sheetViews>
    <sheetView zoomScale="50" zoomScaleNormal="50" zoomScaleSheetLayoutView="40" workbookViewId="0">
      <pane xSplit="4" ySplit="12" topLeftCell="E13" activePane="bottomRight" state="frozen"/>
      <selection activeCell="D9" sqref="D9"/>
      <selection pane="topRight" activeCell="D9" sqref="D9"/>
      <selection pane="bottomLeft" activeCell="D9" sqref="D9"/>
      <selection pane="bottomRight" activeCell="U90" sqref="U90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1" style="6" customWidth="1" collapsed="1"/>
    <col min="5" max="6" width="24.453125" style="7" customWidth="1"/>
    <col min="7" max="7" width="25" style="7" customWidth="1"/>
    <col min="8" max="8" width="25.453125" style="7" customWidth="1"/>
    <col min="9" max="9" width="19.90625" style="7" customWidth="1"/>
    <col min="10" max="12" width="19.90625" style="5" customWidth="1"/>
    <col min="13" max="16" width="20.90625" style="5" customWidth="1"/>
    <col min="17" max="17" width="25.453125" style="5" customWidth="1"/>
    <col min="18" max="18" width="12" style="5" customWidth="1"/>
    <col min="19" max="19" width="22.453125" style="8" hidden="1" customWidth="1"/>
    <col min="20" max="20" width="22.453125" style="5" hidden="1" customWidth="1"/>
    <col min="21" max="21" width="18.08984375" style="5" customWidth="1"/>
    <col min="22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S4" s="33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</row>
    <row r="6" spans="1:20" s="2" customFormat="1" ht="25.4" customHeight="1">
      <c r="D6" s="14" t="s">
        <v>998</v>
      </c>
      <c r="E6" s="13"/>
      <c r="F6" s="13"/>
      <c r="G6" s="13"/>
      <c r="H6" s="13"/>
      <c r="I6" s="13"/>
      <c r="S6" s="33"/>
    </row>
    <row r="7" spans="1:20" s="2" customFormat="1" ht="25.4" customHeight="1">
      <c r="D7" s="199">
        <f>Parameter!H4</f>
        <v>2025</v>
      </c>
      <c r="E7" s="13"/>
      <c r="F7" s="13"/>
      <c r="G7" s="13"/>
      <c r="H7" s="13"/>
      <c r="I7" s="13"/>
      <c r="S7" s="33"/>
    </row>
    <row r="8" spans="1:20" ht="25.4" customHeight="1">
      <c r="D8" s="1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D11" s="21"/>
      <c r="E11" s="22"/>
      <c r="F11" s="22"/>
      <c r="G11" s="22"/>
      <c r="H11" s="23"/>
      <c r="I11" s="23"/>
      <c r="S11" s="35"/>
    </row>
    <row r="12" spans="1:20" s="3" customFormat="1" ht="25.4" customHeight="1">
      <c r="A12" s="3" t="s">
        <v>466</v>
      </c>
      <c r="B12" s="3" t="s">
        <v>999</v>
      </c>
      <c r="D12" s="21" t="s">
        <v>139</v>
      </c>
      <c r="E12" s="43">
        <f>+E195</f>
        <v>205693.63</v>
      </c>
      <c r="F12" s="43">
        <f t="shared" ref="F12:P12" si="0">+F195</f>
        <v>205699.83000000002</v>
      </c>
      <c r="G12" s="43">
        <f t="shared" si="0"/>
        <v>205525.23</v>
      </c>
      <c r="H12" s="43">
        <f t="shared" si="0"/>
        <v>205541.43</v>
      </c>
      <c r="I12" s="43">
        <f t="shared" si="0"/>
        <v>205390.63</v>
      </c>
      <c r="J12" s="43">
        <f t="shared" si="0"/>
        <v>205277.18000000002</v>
      </c>
      <c r="K12" s="43">
        <f t="shared" si="0"/>
        <v>205206.28</v>
      </c>
      <c r="L12" s="43">
        <f t="shared" si="0"/>
        <v>205215.23</v>
      </c>
      <c r="M12" s="43">
        <f t="shared" si="0"/>
        <v>205223.08000000002</v>
      </c>
      <c r="N12" s="43">
        <f t="shared" si="0"/>
        <v>205247.73</v>
      </c>
      <c r="O12" s="43">
        <f t="shared" si="0"/>
        <v>205181.18000000002</v>
      </c>
      <c r="P12" s="43">
        <f t="shared" si="0"/>
        <v>205159.53</v>
      </c>
      <c r="Q12" s="43">
        <f>SUM(E12:P12)</f>
        <v>2464360.96</v>
      </c>
      <c r="R12" s="39">
        <f>Q12/Summary!$Q$16</f>
        <v>3.0939781964339365E-2</v>
      </c>
      <c r="S12" s="35"/>
      <c r="T12" s="40" t="e">
        <f>-IF(Q12-S12=0,0,(Q12-S12)/S12)</f>
        <v>#DIV/0!</v>
      </c>
    </row>
    <row r="13" spans="1:20" s="3" customFormat="1" ht="25.4" customHeight="1">
      <c r="D13" s="26"/>
      <c r="E13" s="24"/>
      <c r="F13" s="24"/>
      <c r="G13" s="24"/>
      <c r="H13" s="25"/>
      <c r="I13" s="25"/>
      <c r="S13" s="35"/>
      <c r="T13" s="40"/>
    </row>
    <row r="14" spans="1:20" s="3" customFormat="1" ht="25.4" customHeight="1">
      <c r="D14" s="21" t="s">
        <v>140</v>
      </c>
      <c r="E14" s="24"/>
      <c r="F14" s="24"/>
      <c r="G14" s="24"/>
      <c r="H14" s="25"/>
      <c r="I14" s="25"/>
      <c r="S14" s="35"/>
      <c r="T14" s="40"/>
    </row>
    <row r="15" spans="1:20" s="3" customFormat="1" ht="25.4" hidden="1" customHeight="1">
      <c r="A15" s="3" t="s">
        <v>468</v>
      </c>
      <c r="B15" s="3" t="s">
        <v>999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3">
        <f>SUM(E15:P15)</f>
        <v>0</v>
      </c>
      <c r="R15" s="39">
        <f>Q15/Summary!$Q$16</f>
        <v>0</v>
      </c>
      <c r="S15" s="35"/>
      <c r="T15" s="40">
        <f t="shared" ref="T15:T24" si="1">IF(Q15-S15=0,0,(Q15-S15)/S15)</f>
        <v>0</v>
      </c>
    </row>
    <row r="16" spans="1:20" s="3" customFormat="1" ht="25.4" hidden="1" customHeight="1">
      <c r="A16" s="3" t="s">
        <v>470</v>
      </c>
      <c r="B16" s="3" t="s">
        <v>999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3">
        <f t="shared" ref="Q16:Q79" si="2">SUM(E16:P16)</f>
        <v>0</v>
      </c>
      <c r="R16" s="39">
        <f>Q16/Summary!$Q$16</f>
        <v>0</v>
      </c>
      <c r="S16" s="35"/>
      <c r="T16" s="40">
        <f t="shared" si="1"/>
        <v>0</v>
      </c>
    </row>
    <row r="17" spans="1:20" s="3" customFormat="1" ht="25.4" hidden="1" customHeight="1">
      <c r="A17" s="3" t="s">
        <v>472</v>
      </c>
      <c r="B17" s="3" t="s">
        <v>999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3">
        <f t="shared" si="2"/>
        <v>0</v>
      </c>
      <c r="R17" s="39">
        <f>Q17/Summary!$Q$16</f>
        <v>0</v>
      </c>
      <c r="S17" s="35"/>
      <c r="T17" s="40">
        <f t="shared" si="1"/>
        <v>0</v>
      </c>
    </row>
    <row r="18" spans="1:20" s="3" customFormat="1" ht="25.4" hidden="1" customHeight="1">
      <c r="A18" s="3" t="s">
        <v>474</v>
      </c>
      <c r="B18" s="3" t="s">
        <v>999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3">
        <f t="shared" si="2"/>
        <v>0</v>
      </c>
      <c r="R18" s="39">
        <f>Q18/Summary!$Q$16</f>
        <v>0</v>
      </c>
      <c r="S18" s="35"/>
      <c r="T18" s="40">
        <f t="shared" si="1"/>
        <v>0</v>
      </c>
    </row>
    <row r="19" spans="1:20" s="3" customFormat="1" ht="25.4" hidden="1" customHeight="1">
      <c r="A19" s="3" t="s">
        <v>476</v>
      </c>
      <c r="B19" s="3" t="s">
        <v>999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3">
        <f t="shared" si="2"/>
        <v>0</v>
      </c>
      <c r="R19" s="39">
        <f>Q19/Summary!$Q$16</f>
        <v>0</v>
      </c>
      <c r="S19" s="35"/>
      <c r="T19" s="40">
        <f t="shared" si="1"/>
        <v>0</v>
      </c>
    </row>
    <row r="20" spans="1:20" s="3" customFormat="1" ht="25.4" hidden="1" customHeight="1">
      <c r="A20" s="3" t="s">
        <v>478</v>
      </c>
      <c r="B20" s="3" t="s">
        <v>999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3">
        <f t="shared" si="2"/>
        <v>0</v>
      </c>
      <c r="R20" s="39">
        <f>Q20/Summary!$Q$16</f>
        <v>0</v>
      </c>
      <c r="S20" s="35"/>
      <c r="T20" s="40">
        <f t="shared" si="1"/>
        <v>0</v>
      </c>
    </row>
    <row r="21" spans="1:20" s="3" customFormat="1" ht="25.4" hidden="1" customHeight="1">
      <c r="A21" s="3" t="s">
        <v>480</v>
      </c>
      <c r="B21" s="3" t="s">
        <v>999</v>
      </c>
      <c r="D21" s="26" t="s">
        <v>481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3">
        <f t="shared" si="2"/>
        <v>0</v>
      </c>
      <c r="R21" s="39">
        <f>Q21/Summary!$Q$16</f>
        <v>0</v>
      </c>
      <c r="S21" s="35"/>
      <c r="T21" s="40">
        <f t="shared" si="1"/>
        <v>0</v>
      </c>
    </row>
    <row r="22" spans="1:20" s="3" customFormat="1" ht="25.4" hidden="1" customHeight="1">
      <c r="A22" s="3" t="s">
        <v>482</v>
      </c>
      <c r="B22" s="3" t="s">
        <v>999</v>
      </c>
      <c r="D22" s="29" t="s">
        <v>483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3">
        <f t="shared" si="2"/>
        <v>0</v>
      </c>
      <c r="R22" s="39">
        <f>Q22/Summary!$Q$16</f>
        <v>0</v>
      </c>
      <c r="S22" s="35"/>
      <c r="T22" s="40">
        <f t="shared" si="1"/>
        <v>0</v>
      </c>
    </row>
    <row r="23" spans="1:20" s="3" customFormat="1" ht="25.4" hidden="1" customHeight="1">
      <c r="A23" s="3" t="s">
        <v>484</v>
      </c>
      <c r="B23" s="3" t="s">
        <v>999</v>
      </c>
      <c r="D23" s="26" t="s">
        <v>485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3">
        <f t="shared" si="2"/>
        <v>0</v>
      </c>
      <c r="R23" s="39">
        <f>Q23/Summary!$Q$16</f>
        <v>0</v>
      </c>
      <c r="S23" s="35"/>
      <c r="T23" s="40">
        <f t="shared" si="1"/>
        <v>0</v>
      </c>
    </row>
    <row r="24" spans="1:20" s="3" customFormat="1" ht="25.4" hidden="1" customHeight="1">
      <c r="A24" s="3" t="s">
        <v>486</v>
      </c>
      <c r="B24" s="3" t="s">
        <v>999</v>
      </c>
      <c r="D24" s="26" t="s">
        <v>487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3">
        <f t="shared" si="2"/>
        <v>0</v>
      </c>
      <c r="R24" s="39">
        <f>Q24/Summary!$Q$16</f>
        <v>0</v>
      </c>
      <c r="S24" s="35"/>
      <c r="T24" s="40">
        <f t="shared" si="1"/>
        <v>0</v>
      </c>
    </row>
    <row r="25" spans="1:20" s="3" customFormat="1" ht="25.4" customHeight="1">
      <c r="A25" s="3" t="s">
        <v>488</v>
      </c>
      <c r="B25" s="3" t="s">
        <v>999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">
        <f t="shared" si="2"/>
        <v>0</v>
      </c>
      <c r="R25" s="39">
        <f>Q25/Summary!$Q$16</f>
        <v>0</v>
      </c>
      <c r="S25" s="35"/>
      <c r="T25" s="40">
        <f t="shared" ref="T25:T56" si="3">-IF(Q25-S25=0,0,(Q25-S25)/S25)</f>
        <v>0</v>
      </c>
    </row>
    <row r="26" spans="1:20" s="3" customFormat="1" ht="25.4" customHeight="1">
      <c r="A26" s="3" t="s">
        <v>490</v>
      </c>
      <c r="B26" s="3" t="s">
        <v>999</v>
      </c>
      <c r="D26" s="26" t="s">
        <v>491</v>
      </c>
      <c r="E26" s="63">
        <v>1000</v>
      </c>
      <c r="F26" s="63">
        <v>1000</v>
      </c>
      <c r="G26" s="63">
        <v>1000</v>
      </c>
      <c r="H26" s="63">
        <v>1000</v>
      </c>
      <c r="I26" s="63">
        <v>1000</v>
      </c>
      <c r="J26" s="63">
        <v>1000</v>
      </c>
      <c r="K26" s="63">
        <v>1000</v>
      </c>
      <c r="L26" s="63">
        <v>1000</v>
      </c>
      <c r="M26" s="63">
        <v>1000</v>
      </c>
      <c r="N26" s="63">
        <v>1000</v>
      </c>
      <c r="O26" s="63">
        <v>1000</v>
      </c>
      <c r="P26" s="63">
        <v>1000</v>
      </c>
      <c r="Q26" s="3">
        <f t="shared" si="2"/>
        <v>12000</v>
      </c>
      <c r="R26" s="39">
        <f>Q26/Summary!$Q$16</f>
        <v>1.5065868580066793E-4</v>
      </c>
      <c r="S26" s="35"/>
      <c r="T26" s="40" t="e">
        <f t="shared" si="3"/>
        <v>#DIV/0!</v>
      </c>
    </row>
    <row r="27" spans="1:20" s="3" customFormat="1" ht="25.4" hidden="1" customHeight="1">
      <c r="A27" s="3" t="s">
        <v>492</v>
      </c>
      <c r="B27" s="3" t="s">
        <v>999</v>
      </c>
      <c r="D27" s="26" t="s">
        <v>493</v>
      </c>
      <c r="E27" s="63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>
        <f t="shared" si="2"/>
        <v>0</v>
      </c>
      <c r="R27" s="39">
        <f>Q27/Summary!$Q$16</f>
        <v>0</v>
      </c>
      <c r="S27" s="35"/>
      <c r="T27" s="40">
        <f t="shared" si="3"/>
        <v>0</v>
      </c>
    </row>
    <row r="28" spans="1:20" s="3" customFormat="1" ht="25.4" hidden="1" customHeight="1">
      <c r="A28" s="3" t="s">
        <v>494</v>
      </c>
      <c r="B28" s="3" t="s">
        <v>999</v>
      </c>
      <c r="D28" s="26" t="s">
        <v>495</v>
      </c>
      <c r="E28" s="63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>
        <f t="shared" si="2"/>
        <v>0</v>
      </c>
      <c r="R28" s="39">
        <f>Q28/Summary!$Q$16</f>
        <v>0</v>
      </c>
      <c r="S28" s="35"/>
      <c r="T28" s="40">
        <f t="shared" si="3"/>
        <v>0</v>
      </c>
    </row>
    <row r="29" spans="1:20" s="3" customFormat="1" ht="25.4" hidden="1" customHeight="1">
      <c r="A29" s="3" t="s">
        <v>496</v>
      </c>
      <c r="B29" s="3" t="s">
        <v>999</v>
      </c>
      <c r="D29" s="26" t="s">
        <v>171</v>
      </c>
      <c r="E29" s="63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>
        <f t="shared" si="2"/>
        <v>0</v>
      </c>
      <c r="R29" s="39">
        <f>Q29/Summary!$Q$16</f>
        <v>0</v>
      </c>
      <c r="S29" s="35"/>
      <c r="T29" s="40">
        <f t="shared" si="3"/>
        <v>0</v>
      </c>
    </row>
    <row r="30" spans="1:20" s="3" customFormat="1" ht="25.4" hidden="1" customHeight="1">
      <c r="A30" s="3" t="s">
        <v>497</v>
      </c>
      <c r="B30" s="3" t="s">
        <v>999</v>
      </c>
      <c r="D30" s="26" t="s">
        <v>173</v>
      </c>
      <c r="E30" s="63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>
        <f t="shared" si="2"/>
        <v>0</v>
      </c>
      <c r="R30" s="39">
        <f>Q30/Summary!$Q$16</f>
        <v>0</v>
      </c>
      <c r="S30" s="35"/>
      <c r="T30" s="40">
        <f t="shared" si="3"/>
        <v>0</v>
      </c>
    </row>
    <row r="31" spans="1:20" s="3" customFormat="1" ht="25.4" hidden="1" customHeight="1">
      <c r="A31" s="3" t="s">
        <v>498</v>
      </c>
      <c r="B31" s="3" t="s">
        <v>999</v>
      </c>
      <c r="D31" s="26" t="s">
        <v>499</v>
      </c>
      <c r="E31" s="63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>
        <f t="shared" si="2"/>
        <v>0</v>
      </c>
      <c r="R31" s="39">
        <f>Q31/Summary!$Q$16</f>
        <v>0</v>
      </c>
      <c r="S31" s="35"/>
      <c r="T31" s="40">
        <f t="shared" si="3"/>
        <v>0</v>
      </c>
    </row>
    <row r="32" spans="1:20" s="3" customFormat="1" ht="25.4" hidden="1" customHeight="1">
      <c r="A32" s="3" t="s">
        <v>500</v>
      </c>
      <c r="B32" s="3" t="s">
        <v>999</v>
      </c>
      <c r="D32" s="26" t="s">
        <v>501</v>
      </c>
      <c r="E32" s="63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>
        <f t="shared" si="2"/>
        <v>0</v>
      </c>
      <c r="R32" s="39">
        <f>Q32/Summary!$Q$16</f>
        <v>0</v>
      </c>
      <c r="S32" s="35"/>
      <c r="T32" s="40">
        <f t="shared" si="3"/>
        <v>0</v>
      </c>
    </row>
    <row r="33" spans="1:20" s="3" customFormat="1" ht="25.4" hidden="1" customHeight="1">
      <c r="A33" s="3" t="s">
        <v>502</v>
      </c>
      <c r="B33" s="3" t="s">
        <v>999</v>
      </c>
      <c r="D33" s="26" t="s">
        <v>503</v>
      </c>
      <c r="E33" s="63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>
        <f t="shared" si="2"/>
        <v>0</v>
      </c>
      <c r="R33" s="39">
        <f>Q33/Summary!$Q$16</f>
        <v>0</v>
      </c>
      <c r="S33" s="35"/>
      <c r="T33" s="40">
        <f t="shared" si="3"/>
        <v>0</v>
      </c>
    </row>
    <row r="34" spans="1:20" s="3" customFormat="1" ht="25.4" hidden="1" customHeight="1">
      <c r="A34" s="3" t="s">
        <v>504</v>
      </c>
      <c r="B34" s="3" t="s">
        <v>999</v>
      </c>
      <c r="D34" s="26" t="s">
        <v>505</v>
      </c>
      <c r="E34" s="63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>
        <f t="shared" si="2"/>
        <v>0</v>
      </c>
      <c r="R34" s="39">
        <f>Q34/Summary!$Q$16</f>
        <v>0</v>
      </c>
      <c r="S34" s="35"/>
      <c r="T34" s="40">
        <f t="shared" si="3"/>
        <v>0</v>
      </c>
    </row>
    <row r="35" spans="1:20" s="3" customFormat="1" ht="25.4" hidden="1" customHeight="1">
      <c r="A35" s="3" t="s">
        <v>506</v>
      </c>
      <c r="B35" s="3" t="s">
        <v>999</v>
      </c>
      <c r="D35" s="26" t="s">
        <v>507</v>
      </c>
      <c r="E35" s="63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>
        <f t="shared" si="2"/>
        <v>0</v>
      </c>
      <c r="R35" s="39">
        <f>Q35/Summary!$Q$16</f>
        <v>0</v>
      </c>
      <c r="S35" s="35"/>
      <c r="T35" s="40">
        <f t="shared" si="3"/>
        <v>0</v>
      </c>
    </row>
    <row r="36" spans="1:20" s="3" customFormat="1" ht="25.4" hidden="1" customHeight="1">
      <c r="A36" s="3" t="s">
        <v>508</v>
      </c>
      <c r="B36" s="3" t="s">
        <v>999</v>
      </c>
      <c r="D36" s="26" t="s">
        <v>509</v>
      </c>
      <c r="E36" s="63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>
        <f t="shared" si="2"/>
        <v>0</v>
      </c>
      <c r="R36" s="39">
        <f>Q36/Summary!$Q$16</f>
        <v>0</v>
      </c>
      <c r="S36" s="35"/>
      <c r="T36" s="40">
        <f t="shared" si="3"/>
        <v>0</v>
      </c>
    </row>
    <row r="37" spans="1:20" s="3" customFormat="1" ht="25.4" hidden="1" customHeight="1">
      <c r="A37" s="3" t="s">
        <v>510</v>
      </c>
      <c r="B37" s="3" t="s">
        <v>999</v>
      </c>
      <c r="D37" s="26" t="s">
        <v>511</v>
      </c>
      <c r="E37" s="63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>
        <f t="shared" si="2"/>
        <v>0</v>
      </c>
      <c r="R37" s="39">
        <f>Q37/Summary!$Q$16</f>
        <v>0</v>
      </c>
      <c r="S37" s="35"/>
      <c r="T37" s="40">
        <f t="shared" si="3"/>
        <v>0</v>
      </c>
    </row>
    <row r="38" spans="1:20" s="3" customFormat="1" ht="25.4" hidden="1" customHeight="1">
      <c r="A38" s="3" t="s">
        <v>512</v>
      </c>
      <c r="B38" s="3" t="s">
        <v>999</v>
      </c>
      <c r="D38" s="26" t="s">
        <v>513</v>
      </c>
      <c r="E38" s="63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>
        <f t="shared" si="2"/>
        <v>0</v>
      </c>
      <c r="R38" s="39">
        <f>Q38/Summary!$Q$16</f>
        <v>0</v>
      </c>
      <c r="S38" s="35"/>
      <c r="T38" s="40">
        <f t="shared" si="3"/>
        <v>0</v>
      </c>
    </row>
    <row r="39" spans="1:20" s="3" customFormat="1" ht="25.4" hidden="1" customHeight="1">
      <c r="A39" s="3" t="s">
        <v>514</v>
      </c>
      <c r="B39" s="3" t="s">
        <v>999</v>
      </c>
      <c r="D39" s="26" t="s">
        <v>515</v>
      </c>
      <c r="E39" s="63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>
        <f t="shared" si="2"/>
        <v>0</v>
      </c>
      <c r="R39" s="39">
        <f>Q39/Summary!$Q$16</f>
        <v>0</v>
      </c>
      <c r="S39" s="35"/>
      <c r="T39" s="40">
        <f t="shared" si="3"/>
        <v>0</v>
      </c>
    </row>
    <row r="40" spans="1:20" s="3" customFormat="1" ht="25.4" hidden="1" customHeight="1">
      <c r="A40" s="3" t="s">
        <v>516</v>
      </c>
      <c r="B40" s="3" t="s">
        <v>999</v>
      </c>
      <c r="D40" s="26" t="s">
        <v>517</v>
      </c>
      <c r="E40" s="63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>
        <f t="shared" si="2"/>
        <v>0</v>
      </c>
      <c r="R40" s="39">
        <f>Q40/Summary!$Q$16</f>
        <v>0</v>
      </c>
      <c r="S40" s="35"/>
      <c r="T40" s="40">
        <f t="shared" si="3"/>
        <v>0</v>
      </c>
    </row>
    <row r="41" spans="1:20" s="3" customFormat="1" ht="25.4" hidden="1" customHeight="1">
      <c r="A41" s="3" t="s">
        <v>518</v>
      </c>
      <c r="B41" s="3" t="s">
        <v>999</v>
      </c>
      <c r="D41" s="26" t="s">
        <v>519</v>
      </c>
      <c r="E41" s="63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>
        <f t="shared" si="2"/>
        <v>0</v>
      </c>
      <c r="R41" s="39">
        <f>Q41/Summary!$Q$16</f>
        <v>0</v>
      </c>
      <c r="S41" s="35"/>
      <c r="T41" s="40">
        <f t="shared" si="3"/>
        <v>0</v>
      </c>
    </row>
    <row r="42" spans="1:20" s="3" customFormat="1" ht="25.4" hidden="1" customHeight="1">
      <c r="A42" s="3" t="s">
        <v>520</v>
      </c>
      <c r="B42" s="3" t="s">
        <v>999</v>
      </c>
      <c r="D42" s="26" t="s">
        <v>521</v>
      </c>
      <c r="E42" s="63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>
        <f t="shared" si="2"/>
        <v>0</v>
      </c>
      <c r="R42" s="39">
        <f>Q42/Summary!$Q$16</f>
        <v>0</v>
      </c>
      <c r="S42" s="35"/>
      <c r="T42" s="40">
        <f t="shared" si="3"/>
        <v>0</v>
      </c>
    </row>
    <row r="43" spans="1:20" s="3" customFormat="1" ht="25.4" customHeight="1">
      <c r="A43" s="3" t="s">
        <v>522</v>
      </c>
      <c r="B43" s="3" t="s">
        <v>999</v>
      </c>
      <c r="D43" s="26" t="s">
        <v>1262</v>
      </c>
      <c r="E43" s="63">
        <f>5*12</f>
        <v>60</v>
      </c>
      <c r="F43" s="63">
        <f t="shared" ref="F43:P43" si="4">5*12</f>
        <v>60</v>
      </c>
      <c r="G43" s="63">
        <f t="shared" si="4"/>
        <v>60</v>
      </c>
      <c r="H43" s="63">
        <f t="shared" si="4"/>
        <v>60</v>
      </c>
      <c r="I43" s="63">
        <f t="shared" si="4"/>
        <v>60</v>
      </c>
      <c r="J43" s="63">
        <f t="shared" si="4"/>
        <v>60</v>
      </c>
      <c r="K43" s="63">
        <f t="shared" si="4"/>
        <v>60</v>
      </c>
      <c r="L43" s="63">
        <f t="shared" si="4"/>
        <v>60</v>
      </c>
      <c r="M43" s="63">
        <f t="shared" si="4"/>
        <v>60</v>
      </c>
      <c r="N43" s="63">
        <f t="shared" si="4"/>
        <v>60</v>
      </c>
      <c r="O43" s="63">
        <f t="shared" si="4"/>
        <v>60</v>
      </c>
      <c r="P43" s="63">
        <f t="shared" si="4"/>
        <v>60</v>
      </c>
      <c r="Q43" s="3">
        <f t="shared" si="2"/>
        <v>720</v>
      </c>
      <c r="R43" s="39">
        <f>Q43/Summary!$Q$16</f>
        <v>9.0395211480400762E-6</v>
      </c>
      <c r="S43" s="35"/>
      <c r="T43" s="40" t="e">
        <f t="shared" si="3"/>
        <v>#DIV/0!</v>
      </c>
    </row>
    <row r="44" spans="1:20" s="3" customFormat="1" ht="25.4" hidden="1" customHeight="1">
      <c r="A44" s="3" t="s">
        <v>524</v>
      </c>
      <c r="B44" s="3" t="s">
        <v>999</v>
      </c>
      <c r="D44" s="26" t="s">
        <v>525</v>
      </c>
      <c r="E44" s="63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9">
        <f>Q44/Summary!$Q$16</f>
        <v>0</v>
      </c>
      <c r="S44" s="35"/>
      <c r="T44" s="40">
        <f t="shared" si="3"/>
        <v>0</v>
      </c>
    </row>
    <row r="45" spans="1:20" s="3" customFormat="1" ht="25.4" hidden="1" customHeight="1">
      <c r="A45" s="3" t="s">
        <v>526</v>
      </c>
      <c r="B45" s="3" t="s">
        <v>999</v>
      </c>
      <c r="D45" s="26" t="s">
        <v>527</v>
      </c>
      <c r="E45" s="63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9">
        <f>Q45/Summary!$Q$16</f>
        <v>0</v>
      </c>
      <c r="S45" s="35"/>
      <c r="T45" s="40">
        <f t="shared" si="3"/>
        <v>0</v>
      </c>
    </row>
    <row r="46" spans="1:20" s="3" customFormat="1" ht="25.4" hidden="1" customHeight="1">
      <c r="A46" s="3" t="s">
        <v>528</v>
      </c>
      <c r="B46" s="3" t="s">
        <v>999</v>
      </c>
      <c r="D46" s="29" t="s">
        <v>529</v>
      </c>
      <c r="E46" s="63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9">
        <f>Q46/Summary!$Q$16</f>
        <v>0</v>
      </c>
      <c r="S46" s="35"/>
      <c r="T46" s="40">
        <f t="shared" si="3"/>
        <v>0</v>
      </c>
    </row>
    <row r="47" spans="1:20" s="3" customFormat="1" ht="25.4" hidden="1" customHeight="1">
      <c r="A47" s="3" t="s">
        <v>530</v>
      </c>
      <c r="B47" s="3" t="s">
        <v>999</v>
      </c>
      <c r="D47" s="26" t="s">
        <v>531</v>
      </c>
      <c r="E47" s="63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9">
        <f>Q47/Summary!$Q$16</f>
        <v>0</v>
      </c>
      <c r="S47" s="35"/>
      <c r="T47" s="40">
        <f t="shared" si="3"/>
        <v>0</v>
      </c>
    </row>
    <row r="48" spans="1:20" s="3" customFormat="1" ht="25.4" hidden="1" customHeight="1">
      <c r="A48" s="3" t="s">
        <v>532</v>
      </c>
      <c r="B48" s="3" t="s">
        <v>999</v>
      </c>
      <c r="D48" s="26" t="s">
        <v>533</v>
      </c>
      <c r="E48" s="63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9">
        <f>Q48/Summary!$Q$16</f>
        <v>0</v>
      </c>
      <c r="S48" s="35"/>
      <c r="T48" s="40">
        <f t="shared" si="3"/>
        <v>0</v>
      </c>
    </row>
    <row r="49" spans="1:20" s="3" customFormat="1" ht="25.4" hidden="1" customHeight="1">
      <c r="A49" s="3" t="s">
        <v>534</v>
      </c>
      <c r="B49" s="3" t="s">
        <v>999</v>
      </c>
      <c r="D49" s="26" t="s">
        <v>535</v>
      </c>
      <c r="E49" s="63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9">
        <f>Q49/Summary!$Q$16</f>
        <v>0</v>
      </c>
      <c r="S49" s="35"/>
      <c r="T49" s="40">
        <f t="shared" si="3"/>
        <v>0</v>
      </c>
    </row>
    <row r="50" spans="1:20" s="3" customFormat="1" ht="25.4" customHeight="1">
      <c r="A50" s="3" t="s">
        <v>536</v>
      </c>
      <c r="B50" s="3" t="s">
        <v>999</v>
      </c>
      <c r="D50" s="26" t="s">
        <v>537</v>
      </c>
      <c r="E50" s="63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9">
        <f>Q50/Summary!$Q$16</f>
        <v>0</v>
      </c>
      <c r="S50" s="35"/>
      <c r="T50" s="40">
        <f t="shared" si="3"/>
        <v>0</v>
      </c>
    </row>
    <row r="51" spans="1:20" s="3" customFormat="1" ht="25.4" hidden="1" customHeight="1">
      <c r="A51" s="3" t="s">
        <v>538</v>
      </c>
      <c r="B51" s="3" t="s">
        <v>999</v>
      </c>
      <c r="D51" s="26" t="s">
        <v>539</v>
      </c>
      <c r="E51" s="63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9">
        <f>Q51/Summary!$Q$16</f>
        <v>0</v>
      </c>
      <c r="S51" s="35"/>
      <c r="T51" s="40">
        <f t="shared" si="3"/>
        <v>0</v>
      </c>
    </row>
    <row r="52" spans="1:20" s="3" customFormat="1" ht="25.4" hidden="1" customHeight="1">
      <c r="A52" s="3" t="s">
        <v>540</v>
      </c>
      <c r="B52" s="3" t="s">
        <v>999</v>
      </c>
      <c r="D52" s="26" t="s">
        <v>541</v>
      </c>
      <c r="E52" s="63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9">
        <f>Q52/Summary!$Q$16</f>
        <v>0</v>
      </c>
      <c r="S52" s="35"/>
      <c r="T52" s="40">
        <f t="shared" si="3"/>
        <v>0</v>
      </c>
    </row>
    <row r="53" spans="1:20" s="3" customFormat="1" ht="25.4" hidden="1" customHeight="1">
      <c r="A53" s="3" t="s">
        <v>542</v>
      </c>
      <c r="B53" s="3" t="s">
        <v>999</v>
      </c>
      <c r="D53" s="29" t="s">
        <v>543</v>
      </c>
      <c r="E53" s="63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9">
        <f>Q53/Summary!$Q$16</f>
        <v>0</v>
      </c>
      <c r="S53" s="35"/>
      <c r="T53" s="40">
        <f t="shared" si="3"/>
        <v>0</v>
      </c>
    </row>
    <row r="54" spans="1:20" s="3" customFormat="1" ht="25.4" hidden="1" customHeight="1">
      <c r="A54" s="3" t="s">
        <v>544</v>
      </c>
      <c r="B54" s="3" t="s">
        <v>999</v>
      </c>
      <c r="D54" s="26" t="s">
        <v>545</v>
      </c>
      <c r="E54" s="63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9">
        <f>Q54/Summary!$Q$16</f>
        <v>0</v>
      </c>
      <c r="S54" s="35"/>
      <c r="T54" s="40">
        <f t="shared" si="3"/>
        <v>0</v>
      </c>
    </row>
    <row r="55" spans="1:20" s="3" customFormat="1" ht="25.4" hidden="1" customHeight="1">
      <c r="A55" s="3" t="s">
        <v>546</v>
      </c>
      <c r="B55" s="3" t="s">
        <v>999</v>
      </c>
      <c r="D55" s="29" t="s">
        <v>547</v>
      </c>
      <c r="E55" s="63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>
        <f t="shared" si="2"/>
        <v>0</v>
      </c>
      <c r="R55" s="39">
        <f>Q55/Summary!$Q$16</f>
        <v>0</v>
      </c>
      <c r="S55" s="35"/>
      <c r="T55" s="40">
        <f t="shared" si="3"/>
        <v>0</v>
      </c>
    </row>
    <row r="56" spans="1:20" s="3" customFormat="1" ht="25.4" hidden="1" customHeight="1">
      <c r="A56" s="3" t="s">
        <v>548</v>
      </c>
      <c r="B56" s="3" t="s">
        <v>999</v>
      </c>
      <c r="D56" s="26" t="s">
        <v>549</v>
      </c>
      <c r="E56" s="63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>
        <f t="shared" si="2"/>
        <v>0</v>
      </c>
      <c r="R56" s="39">
        <f>Q56/Summary!$Q$16</f>
        <v>0</v>
      </c>
      <c r="S56" s="35"/>
      <c r="T56" s="40">
        <f t="shared" si="3"/>
        <v>0</v>
      </c>
    </row>
    <row r="57" spans="1:20" s="3" customFormat="1" ht="25.4" hidden="1" customHeight="1">
      <c r="A57" s="3" t="s">
        <v>550</v>
      </c>
      <c r="B57" s="3" t="s">
        <v>999</v>
      </c>
      <c r="D57" s="26" t="s">
        <v>551</v>
      </c>
      <c r="E57" s="63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9">
        <f>Q57/Summary!$Q$16</f>
        <v>0</v>
      </c>
      <c r="S57" s="35"/>
      <c r="T57" s="40">
        <f t="shared" ref="T57:T88" si="5">-IF(Q57-S57=0,0,(Q57-S57)/S57)</f>
        <v>0</v>
      </c>
    </row>
    <row r="58" spans="1:20" s="3" customFormat="1" ht="25.4" hidden="1" customHeight="1">
      <c r="A58" s="3" t="s">
        <v>552</v>
      </c>
      <c r="B58" s="3" t="s">
        <v>999</v>
      </c>
      <c r="D58" s="26" t="s">
        <v>553</v>
      </c>
      <c r="E58" s="63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9">
        <f>Q58/Summary!$Q$16</f>
        <v>0</v>
      </c>
      <c r="S58" s="35"/>
      <c r="T58" s="40">
        <f t="shared" si="5"/>
        <v>0</v>
      </c>
    </row>
    <row r="59" spans="1:20" s="3" customFormat="1" ht="25.4" hidden="1" customHeight="1">
      <c r="A59" s="3" t="s">
        <v>554</v>
      </c>
      <c r="B59" s="3" t="s">
        <v>999</v>
      </c>
      <c r="D59" s="26" t="s">
        <v>555</v>
      </c>
      <c r="E59" s="63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9">
        <f>Q59/Summary!$Q$16</f>
        <v>0</v>
      </c>
      <c r="S59" s="35"/>
      <c r="T59" s="40">
        <f t="shared" si="5"/>
        <v>0</v>
      </c>
    </row>
    <row r="60" spans="1:20" s="3" customFormat="1" ht="25.4" hidden="1" customHeight="1">
      <c r="A60" s="3" t="s">
        <v>556</v>
      </c>
      <c r="B60" s="3" t="s">
        <v>999</v>
      </c>
      <c r="D60" s="26" t="s">
        <v>557</v>
      </c>
      <c r="E60" s="63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9">
        <f>Q60/Summary!$Q$16</f>
        <v>0</v>
      </c>
      <c r="S60" s="35"/>
      <c r="T60" s="40">
        <f t="shared" si="5"/>
        <v>0</v>
      </c>
    </row>
    <row r="61" spans="1:20" s="3" customFormat="1" ht="25.4" hidden="1" customHeight="1">
      <c r="A61" s="3" t="s">
        <v>558</v>
      </c>
      <c r="B61" s="3" t="s">
        <v>999</v>
      </c>
      <c r="D61" s="26" t="s">
        <v>559</v>
      </c>
      <c r="E61" s="63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9">
        <f>Q61/Summary!$Q$16</f>
        <v>0</v>
      </c>
      <c r="S61" s="35"/>
      <c r="T61" s="40">
        <f t="shared" si="5"/>
        <v>0</v>
      </c>
    </row>
    <row r="62" spans="1:20" s="3" customFormat="1" ht="25.4" hidden="1" customHeight="1">
      <c r="A62" s="3" t="s">
        <v>560</v>
      </c>
      <c r="B62" s="3" t="s">
        <v>999</v>
      </c>
      <c r="D62" s="26" t="s">
        <v>561</v>
      </c>
      <c r="E62" s="63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R62" s="39">
        <f>Q62/Summary!$Q$16</f>
        <v>0</v>
      </c>
      <c r="S62" s="35"/>
      <c r="T62" s="40">
        <f t="shared" si="5"/>
        <v>0</v>
      </c>
    </row>
    <row r="63" spans="1:20" s="3" customFormat="1" ht="25.4" hidden="1" customHeight="1">
      <c r="A63" s="3" t="s">
        <v>562</v>
      </c>
      <c r="B63" s="3" t="s">
        <v>999</v>
      </c>
      <c r="D63" s="26" t="s">
        <v>563</v>
      </c>
      <c r="E63" s="63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9">
        <f>Q63/Summary!$Q$16</f>
        <v>0</v>
      </c>
      <c r="S63" s="35"/>
      <c r="T63" s="40">
        <f t="shared" si="5"/>
        <v>0</v>
      </c>
    </row>
    <row r="64" spans="1:20" s="3" customFormat="1" ht="25.4" hidden="1" customHeight="1">
      <c r="A64" s="3" t="s">
        <v>564</v>
      </c>
      <c r="B64" s="3" t="s">
        <v>999</v>
      </c>
      <c r="D64" s="26" t="s">
        <v>565</v>
      </c>
      <c r="E64" s="6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9">
        <f>Q64/Summary!$Q$16</f>
        <v>0</v>
      </c>
      <c r="S64" s="35"/>
      <c r="T64" s="40">
        <f t="shared" si="5"/>
        <v>0</v>
      </c>
    </row>
    <row r="65" spans="1:21" s="3" customFormat="1" ht="25.4" hidden="1" customHeight="1">
      <c r="A65" s="3" t="s">
        <v>566</v>
      </c>
      <c r="B65" s="3" t="s">
        <v>999</v>
      </c>
      <c r="D65" s="26" t="s">
        <v>567</v>
      </c>
      <c r="E65" s="63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9">
        <f>Q65/Summary!$Q$16</f>
        <v>0</v>
      </c>
      <c r="S65" s="35"/>
      <c r="T65" s="40">
        <f t="shared" si="5"/>
        <v>0</v>
      </c>
    </row>
    <row r="66" spans="1:21" s="3" customFormat="1" ht="25.4" hidden="1" customHeight="1">
      <c r="A66" s="3" t="s">
        <v>568</v>
      </c>
      <c r="B66" s="3" t="s">
        <v>999</v>
      </c>
      <c r="D66" s="26" t="s">
        <v>569</v>
      </c>
      <c r="E66" s="63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>
        <f t="shared" si="2"/>
        <v>0</v>
      </c>
      <c r="R66" s="39">
        <f>Q66/Summary!$Q$16</f>
        <v>0</v>
      </c>
      <c r="S66" s="35"/>
      <c r="T66" s="40">
        <f t="shared" si="5"/>
        <v>0</v>
      </c>
    </row>
    <row r="67" spans="1:21" s="3" customFormat="1" ht="25.4" hidden="1" customHeight="1">
      <c r="A67" s="3" t="s">
        <v>570</v>
      </c>
      <c r="B67" s="3" t="s">
        <v>999</v>
      </c>
      <c r="D67" s="26" t="s">
        <v>571</v>
      </c>
      <c r="E67" s="63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9">
        <f>Q67/Summary!$Q$16</f>
        <v>0</v>
      </c>
      <c r="S67" s="35"/>
      <c r="T67" s="40">
        <f t="shared" si="5"/>
        <v>0</v>
      </c>
    </row>
    <row r="68" spans="1:21" s="3" customFormat="1" ht="25.4" customHeight="1">
      <c r="A68" s="3" t="s">
        <v>572</v>
      </c>
      <c r="B68" s="3" t="s">
        <v>999</v>
      </c>
      <c r="D68" s="26" t="s">
        <v>573</v>
      </c>
      <c r="E68" s="63">
        <v>50</v>
      </c>
      <c r="F68" s="63">
        <v>50</v>
      </c>
      <c r="G68" s="63">
        <v>50</v>
      </c>
      <c r="H68" s="63">
        <v>50</v>
      </c>
      <c r="I68" s="63">
        <v>50</v>
      </c>
      <c r="J68" s="63">
        <v>50</v>
      </c>
      <c r="K68" s="63">
        <v>50</v>
      </c>
      <c r="L68" s="63">
        <v>50</v>
      </c>
      <c r="M68" s="63">
        <v>50</v>
      </c>
      <c r="N68" s="63">
        <v>50</v>
      </c>
      <c r="O68" s="63">
        <v>50</v>
      </c>
      <c r="P68" s="63">
        <v>50</v>
      </c>
      <c r="Q68" s="3">
        <f t="shared" si="2"/>
        <v>600</v>
      </c>
      <c r="R68" s="39">
        <f>Q68/Summary!$Q$16</f>
        <v>7.5329342900333968E-6</v>
      </c>
      <c r="S68" s="35"/>
      <c r="T68" s="40" t="e">
        <f t="shared" si="5"/>
        <v>#DIV/0!</v>
      </c>
    </row>
    <row r="69" spans="1:21" s="3" customFormat="1" ht="25.4" customHeight="1">
      <c r="A69" s="3" t="s">
        <v>574</v>
      </c>
      <c r="B69" s="3" t="s">
        <v>999</v>
      </c>
      <c r="D69" s="26" t="s">
        <v>575</v>
      </c>
      <c r="E69" s="63">
        <v>120</v>
      </c>
      <c r="F69" s="63">
        <v>120</v>
      </c>
      <c r="G69" s="63">
        <v>120</v>
      </c>
      <c r="H69" s="63">
        <v>120</v>
      </c>
      <c r="I69" s="63">
        <v>120</v>
      </c>
      <c r="J69" s="63">
        <v>120</v>
      </c>
      <c r="K69" s="63">
        <v>120</v>
      </c>
      <c r="L69" s="63">
        <v>120</v>
      </c>
      <c r="M69" s="63">
        <v>120</v>
      </c>
      <c r="N69" s="63">
        <v>120</v>
      </c>
      <c r="O69" s="63">
        <v>120</v>
      </c>
      <c r="P69" s="63">
        <v>120</v>
      </c>
      <c r="Q69" s="3">
        <f t="shared" si="2"/>
        <v>1440</v>
      </c>
      <c r="R69" s="39">
        <f>Q69/Summary!$Q$16</f>
        <v>1.8079042296080152E-5</v>
      </c>
      <c r="S69" s="35"/>
      <c r="T69" s="40" t="e">
        <f t="shared" si="5"/>
        <v>#DIV/0!</v>
      </c>
    </row>
    <row r="70" spans="1:21" s="3" customFormat="1" ht="25.4" customHeight="1">
      <c r="A70" s="3" t="s">
        <v>576</v>
      </c>
      <c r="B70" s="3" t="s">
        <v>999</v>
      </c>
      <c r="D70" s="26" t="s">
        <v>1234</v>
      </c>
      <c r="E70" s="63">
        <v>1461.5</v>
      </c>
      <c r="F70" s="63">
        <v>1285.1499999999999</v>
      </c>
      <c r="G70" s="63">
        <v>1252.05</v>
      </c>
      <c r="H70" s="63">
        <v>1283.8</v>
      </c>
      <c r="I70" s="63">
        <v>1264.25</v>
      </c>
      <c r="J70" s="63">
        <v>1164.4000000000001</v>
      </c>
      <c r="K70" s="63">
        <v>1131.6500000000001</v>
      </c>
      <c r="L70" s="63">
        <v>1135.6500000000001</v>
      </c>
      <c r="M70" s="63">
        <v>1158.95</v>
      </c>
      <c r="N70" s="63">
        <v>1253.6499999999999</v>
      </c>
      <c r="O70" s="63">
        <v>1123.55</v>
      </c>
      <c r="P70" s="63">
        <v>1112</v>
      </c>
      <c r="Q70" s="3">
        <f t="shared" si="2"/>
        <v>14626.599999999999</v>
      </c>
      <c r="R70" s="39">
        <f>Q70/Summary!$Q$16</f>
        <v>1.8363536114433744E-4</v>
      </c>
      <c r="S70" s="35"/>
      <c r="T70" s="40" t="e">
        <f t="shared" si="5"/>
        <v>#DIV/0!</v>
      </c>
      <c r="U70" s="3">
        <f>+Q70/Q197/12</f>
        <v>243.77666666666664</v>
      </c>
    </row>
    <row r="71" spans="1:21" s="3" customFormat="1" ht="24.75" customHeight="1">
      <c r="A71" s="3" t="s">
        <v>578</v>
      </c>
      <c r="B71" s="3" t="s">
        <v>999</v>
      </c>
      <c r="D71" s="26" t="s">
        <v>579</v>
      </c>
      <c r="E71" s="63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9">
        <f>Q71/Summary!$Q$16</f>
        <v>0</v>
      </c>
      <c r="S71" s="35"/>
      <c r="T71" s="40">
        <f t="shared" si="5"/>
        <v>0</v>
      </c>
    </row>
    <row r="72" spans="1:21" s="3" customFormat="1" ht="24.75" customHeight="1">
      <c r="A72" s="3" t="s">
        <v>580</v>
      </c>
      <c r="B72" s="3" t="s">
        <v>999</v>
      </c>
      <c r="D72" s="26" t="s">
        <v>581</v>
      </c>
      <c r="E72" s="63">
        <v>100</v>
      </c>
      <c r="F72" s="63">
        <v>100</v>
      </c>
      <c r="G72" s="63">
        <v>100</v>
      </c>
      <c r="H72" s="63">
        <v>100</v>
      </c>
      <c r="I72" s="63">
        <v>100</v>
      </c>
      <c r="J72" s="63">
        <v>100</v>
      </c>
      <c r="K72" s="63">
        <v>100</v>
      </c>
      <c r="L72" s="63">
        <v>100</v>
      </c>
      <c r="M72" s="63">
        <v>100</v>
      </c>
      <c r="N72" s="63">
        <v>100</v>
      </c>
      <c r="O72" s="63">
        <v>100</v>
      </c>
      <c r="P72" s="63">
        <v>100</v>
      </c>
      <c r="Q72" s="3">
        <f t="shared" si="2"/>
        <v>1200</v>
      </c>
      <c r="R72" s="39">
        <f>Q72/Summary!$Q$16</f>
        <v>1.5065868580066794E-5</v>
      </c>
      <c r="S72" s="35"/>
      <c r="T72" s="40" t="e">
        <f t="shared" si="5"/>
        <v>#DIV/0!</v>
      </c>
    </row>
    <row r="73" spans="1:21" s="3" customFormat="1" ht="25.4" customHeight="1">
      <c r="A73" s="3" t="s">
        <v>582</v>
      </c>
      <c r="B73" s="3" t="s">
        <v>999</v>
      </c>
      <c r="D73" s="26" t="s">
        <v>583</v>
      </c>
      <c r="E73" s="63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9">
        <f>Q73/Summary!$Q$16</f>
        <v>0</v>
      </c>
      <c r="S73" s="35"/>
      <c r="T73" s="40">
        <f t="shared" si="5"/>
        <v>0</v>
      </c>
    </row>
    <row r="74" spans="1:21" s="3" customFormat="1" ht="25.4" customHeight="1">
      <c r="A74" s="3" t="s">
        <v>584</v>
      </c>
      <c r="B74" s="3" t="s">
        <v>999</v>
      </c>
      <c r="D74" s="26" t="s">
        <v>585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3">
        <f t="shared" si="2"/>
        <v>0</v>
      </c>
      <c r="R74" s="39">
        <f>Q74/Summary!$Q$16</f>
        <v>0</v>
      </c>
      <c r="S74" s="35"/>
      <c r="T74" s="40">
        <f t="shared" si="5"/>
        <v>0</v>
      </c>
    </row>
    <row r="75" spans="1:21" s="3" customFormat="1" ht="25.4" customHeight="1">
      <c r="A75" s="3" t="s">
        <v>586</v>
      </c>
      <c r="B75" s="3" t="s">
        <v>999</v>
      </c>
      <c r="D75" s="26" t="s">
        <v>587</v>
      </c>
      <c r="E75" s="63">
        <v>1000</v>
      </c>
      <c r="F75" s="63">
        <v>1000</v>
      </c>
      <c r="G75" s="63">
        <v>1000</v>
      </c>
      <c r="H75" s="63">
        <v>1000</v>
      </c>
      <c r="I75" s="63">
        <v>1000</v>
      </c>
      <c r="J75" s="63">
        <v>1000</v>
      </c>
      <c r="K75" s="63">
        <v>1000</v>
      </c>
      <c r="L75" s="63">
        <v>1000</v>
      </c>
      <c r="M75" s="63">
        <v>1000</v>
      </c>
      <c r="N75" s="63">
        <v>1000</v>
      </c>
      <c r="O75" s="63">
        <v>1000</v>
      </c>
      <c r="P75" s="63">
        <v>1000</v>
      </c>
      <c r="Q75" s="3">
        <f t="shared" si="2"/>
        <v>12000</v>
      </c>
      <c r="R75" s="39">
        <f>Q75/Summary!$Q$16</f>
        <v>1.5065868580066793E-4</v>
      </c>
      <c r="S75" s="35"/>
      <c r="T75" s="40" t="e">
        <f t="shared" si="5"/>
        <v>#DIV/0!</v>
      </c>
    </row>
    <row r="76" spans="1:21" s="3" customFormat="1" ht="25.4" hidden="1" customHeight="1">
      <c r="A76" s="3" t="s">
        <v>588</v>
      </c>
      <c r="B76" s="3" t="s">
        <v>999</v>
      </c>
      <c r="D76" s="26" t="s">
        <v>589</v>
      </c>
      <c r="E76" s="63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9">
        <f>Q76/Summary!$Q$16</f>
        <v>0</v>
      </c>
      <c r="S76" s="35"/>
      <c r="T76" s="40">
        <f t="shared" si="5"/>
        <v>0</v>
      </c>
    </row>
    <row r="77" spans="1:21" s="3" customFormat="1" ht="25.4" customHeight="1">
      <c r="A77" s="3" t="s">
        <v>590</v>
      </c>
      <c r="B77" s="3" t="s">
        <v>999</v>
      </c>
      <c r="D77" s="26" t="s">
        <v>591</v>
      </c>
      <c r="E77" s="63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>
        <f t="shared" si="2"/>
        <v>0</v>
      </c>
      <c r="R77" s="39">
        <f>Q77/Summary!$Q$16</f>
        <v>0</v>
      </c>
      <c r="S77" s="35"/>
      <c r="T77" s="40">
        <f t="shared" si="5"/>
        <v>0</v>
      </c>
    </row>
    <row r="78" spans="1:21" s="3" customFormat="1" ht="25.4" customHeight="1">
      <c r="A78" s="253" t="s">
        <v>846</v>
      </c>
      <c r="B78" s="3" t="s">
        <v>999</v>
      </c>
      <c r="D78" s="26" t="s">
        <v>847</v>
      </c>
      <c r="E78" s="63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>
        <f t="shared" si="2"/>
        <v>0</v>
      </c>
      <c r="R78" s="39">
        <f>Q78/Summary!$Q$16</f>
        <v>0</v>
      </c>
      <c r="S78" s="35"/>
      <c r="T78" s="40">
        <f t="shared" si="5"/>
        <v>0</v>
      </c>
    </row>
    <row r="79" spans="1:21" s="3" customFormat="1" ht="25.4" customHeight="1">
      <c r="A79" s="3" t="s">
        <v>592</v>
      </c>
      <c r="B79" s="3" t="s">
        <v>999</v>
      </c>
      <c r="D79" s="26" t="s">
        <v>593</v>
      </c>
      <c r="E79" s="63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">
        <f t="shared" si="2"/>
        <v>0</v>
      </c>
      <c r="R79" s="39">
        <f>Q79/Summary!$Q$16</f>
        <v>0</v>
      </c>
      <c r="S79" s="35"/>
      <c r="T79" s="40">
        <f t="shared" si="5"/>
        <v>0</v>
      </c>
    </row>
    <row r="80" spans="1:21" s="3" customFormat="1" ht="25.4" customHeight="1">
      <c r="A80" s="3" t="s">
        <v>848</v>
      </c>
      <c r="B80" s="3" t="s">
        <v>999</v>
      </c>
      <c r="D80" s="26" t="s">
        <v>849</v>
      </c>
      <c r="E80" s="63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143" si="6">SUM(E80:P80)</f>
        <v>0</v>
      </c>
      <c r="R80" s="39">
        <f>Q80/Summary!$Q$16</f>
        <v>0</v>
      </c>
      <c r="S80" s="35"/>
      <c r="T80" s="40">
        <f t="shared" si="5"/>
        <v>0</v>
      </c>
    </row>
    <row r="81" spans="1:21" s="3" customFormat="1" ht="25.4" customHeight="1">
      <c r="A81" s="3" t="s">
        <v>850</v>
      </c>
      <c r="B81" s="3" t="s">
        <v>999</v>
      </c>
      <c r="D81" s="26" t="s">
        <v>851</v>
      </c>
      <c r="E81" s="63">
        <f>+ROUND(30000/12,2)</f>
        <v>2500</v>
      </c>
      <c r="F81" s="63">
        <f t="shared" ref="F81:P81" si="7">+ROUND(30000/12,2)</f>
        <v>2500</v>
      </c>
      <c r="G81" s="63">
        <f t="shared" si="7"/>
        <v>2500</v>
      </c>
      <c r="H81" s="63">
        <f t="shared" si="7"/>
        <v>2500</v>
      </c>
      <c r="I81" s="63">
        <f t="shared" si="7"/>
        <v>2500</v>
      </c>
      <c r="J81" s="63">
        <f t="shared" si="7"/>
        <v>2500</v>
      </c>
      <c r="K81" s="63">
        <f t="shared" si="7"/>
        <v>2500</v>
      </c>
      <c r="L81" s="63">
        <f t="shared" si="7"/>
        <v>2500</v>
      </c>
      <c r="M81" s="63">
        <f t="shared" si="7"/>
        <v>2500</v>
      </c>
      <c r="N81" s="63">
        <f t="shared" si="7"/>
        <v>2500</v>
      </c>
      <c r="O81" s="63">
        <f t="shared" si="7"/>
        <v>2500</v>
      </c>
      <c r="P81" s="63">
        <f t="shared" si="7"/>
        <v>2500</v>
      </c>
      <c r="Q81" s="3">
        <f t="shared" si="6"/>
        <v>30000</v>
      </c>
      <c r="R81" s="39">
        <f>Q81/Summary!$Q$16</f>
        <v>3.7664671450166981E-4</v>
      </c>
      <c r="S81" s="35"/>
      <c r="T81" s="40" t="e">
        <f t="shared" si="5"/>
        <v>#DIV/0!</v>
      </c>
      <c r="U81" s="3" t="s">
        <v>1174</v>
      </c>
    </row>
    <row r="82" spans="1:21" s="3" customFormat="1" ht="25.4" customHeight="1">
      <c r="A82" s="3" t="s">
        <v>852</v>
      </c>
      <c r="B82" s="3" t="s">
        <v>999</v>
      </c>
      <c r="D82" s="26" t="s">
        <v>853</v>
      </c>
      <c r="E82" s="63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6"/>
        <v>0</v>
      </c>
      <c r="R82" s="39">
        <f>Q82/Summary!$Q$16</f>
        <v>0</v>
      </c>
      <c r="S82" s="35"/>
      <c r="T82" s="40">
        <f t="shared" si="5"/>
        <v>0</v>
      </c>
    </row>
    <row r="83" spans="1:21" s="3" customFormat="1" ht="25.4" customHeight="1">
      <c r="A83" s="3" t="s">
        <v>854</v>
      </c>
      <c r="B83" s="3" t="s">
        <v>999</v>
      </c>
      <c r="D83" s="26" t="s">
        <v>855</v>
      </c>
      <c r="E83" s="63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3">
        <f t="shared" si="6"/>
        <v>0</v>
      </c>
      <c r="R83" s="39">
        <f>Q83/Summary!$Q$16</f>
        <v>0</v>
      </c>
      <c r="S83" s="35"/>
      <c r="T83" s="40">
        <f t="shared" si="5"/>
        <v>0</v>
      </c>
    </row>
    <row r="84" spans="1:21" s="3" customFormat="1" ht="25.4" hidden="1" customHeight="1">
      <c r="A84" s="3" t="s">
        <v>856</v>
      </c>
      <c r="B84" s="3" t="s">
        <v>999</v>
      </c>
      <c r="D84" s="26" t="s">
        <v>857</v>
      </c>
      <c r="E84" s="63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3">
        <f t="shared" si="6"/>
        <v>0</v>
      </c>
      <c r="R84" s="39">
        <f>Q84/Summary!$Q$16</f>
        <v>0</v>
      </c>
      <c r="S84" s="35"/>
      <c r="T84" s="40">
        <f t="shared" si="5"/>
        <v>0</v>
      </c>
    </row>
    <row r="85" spans="1:21" s="3" customFormat="1" ht="25.4" hidden="1" customHeight="1">
      <c r="A85" s="3" t="s">
        <v>858</v>
      </c>
      <c r="B85" s="3" t="s">
        <v>999</v>
      </c>
      <c r="D85" s="26" t="s">
        <v>859</v>
      </c>
      <c r="E85" s="63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3">
        <f t="shared" si="6"/>
        <v>0</v>
      </c>
      <c r="R85" s="39">
        <f>Q85/Summary!$Q$16</f>
        <v>0</v>
      </c>
      <c r="S85" s="35"/>
      <c r="T85" s="40">
        <f t="shared" si="5"/>
        <v>0</v>
      </c>
    </row>
    <row r="86" spans="1:21" s="3" customFormat="1" ht="25.4" hidden="1" customHeight="1">
      <c r="A86" s="3" t="s">
        <v>860</v>
      </c>
      <c r="B86" s="3" t="s">
        <v>999</v>
      </c>
      <c r="D86" s="26" t="s">
        <v>861</v>
      </c>
      <c r="E86" s="63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>
        <f t="shared" si="6"/>
        <v>0</v>
      </c>
      <c r="R86" s="39">
        <f>Q86/Summary!$Q$16</f>
        <v>0</v>
      </c>
      <c r="S86" s="35"/>
      <c r="T86" s="40">
        <f t="shared" si="5"/>
        <v>0</v>
      </c>
    </row>
    <row r="87" spans="1:21" s="3" customFormat="1" ht="25.4" hidden="1" customHeight="1">
      <c r="A87" s="3" t="s">
        <v>862</v>
      </c>
      <c r="B87" s="3" t="s">
        <v>999</v>
      </c>
      <c r="D87" s="26" t="s">
        <v>863</v>
      </c>
      <c r="E87" s="63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3">
        <f t="shared" si="6"/>
        <v>0</v>
      </c>
      <c r="R87" s="39">
        <f>Q87/Summary!$Q$16</f>
        <v>0</v>
      </c>
      <c r="S87" s="35"/>
      <c r="T87" s="40">
        <f t="shared" si="5"/>
        <v>0</v>
      </c>
    </row>
    <row r="88" spans="1:21" s="3" customFormat="1" ht="25.4" hidden="1" customHeight="1">
      <c r="A88" s="3" t="s">
        <v>864</v>
      </c>
      <c r="B88" s="3" t="s">
        <v>999</v>
      </c>
      <c r="D88" s="26" t="s">
        <v>865</v>
      </c>
      <c r="E88" s="63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>
        <f t="shared" si="6"/>
        <v>0</v>
      </c>
      <c r="R88" s="39">
        <f>Q88/Summary!$Q$16</f>
        <v>0</v>
      </c>
      <c r="S88" s="35"/>
      <c r="T88" s="40">
        <f t="shared" si="5"/>
        <v>0</v>
      </c>
    </row>
    <row r="89" spans="1:21" s="3" customFormat="1" ht="25.4" hidden="1" customHeight="1">
      <c r="A89" s="3" t="s">
        <v>270</v>
      </c>
      <c r="B89" s="3" t="s">
        <v>999</v>
      </c>
      <c r="D89" s="26" t="s">
        <v>594</v>
      </c>
      <c r="E89" s="63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>
        <f t="shared" si="6"/>
        <v>0</v>
      </c>
      <c r="R89" s="39">
        <f>Q89/Summary!$Q$16</f>
        <v>0</v>
      </c>
      <c r="S89" s="35"/>
      <c r="T89" s="40">
        <f t="shared" ref="T89:T120" si="8">-IF(Q89-S89=0,0,(Q89-S89)/S89)</f>
        <v>0</v>
      </c>
    </row>
    <row r="90" spans="1:21" s="306" customFormat="1" ht="25.4" customHeight="1">
      <c r="A90" s="306" t="s">
        <v>866</v>
      </c>
      <c r="B90" s="306" t="s">
        <v>999</v>
      </c>
      <c r="D90" s="26" t="s">
        <v>867</v>
      </c>
      <c r="E90" s="63">
        <f>43000/12</f>
        <v>3583.3333333333335</v>
      </c>
      <c r="F90" s="63">
        <f t="shared" ref="F90:P90" si="9">43000/12</f>
        <v>3583.3333333333335</v>
      </c>
      <c r="G90" s="63">
        <f t="shared" si="9"/>
        <v>3583.3333333333335</v>
      </c>
      <c r="H90" s="63">
        <f t="shared" si="9"/>
        <v>3583.3333333333335</v>
      </c>
      <c r="I90" s="63">
        <f t="shared" si="9"/>
        <v>3583.3333333333335</v>
      </c>
      <c r="J90" s="63">
        <f t="shared" si="9"/>
        <v>3583.3333333333335</v>
      </c>
      <c r="K90" s="63">
        <f t="shared" si="9"/>
        <v>3583.3333333333335</v>
      </c>
      <c r="L90" s="63">
        <f t="shared" si="9"/>
        <v>3583.3333333333335</v>
      </c>
      <c r="M90" s="63">
        <f t="shared" si="9"/>
        <v>3583.3333333333335</v>
      </c>
      <c r="N90" s="63">
        <f t="shared" si="9"/>
        <v>3583.3333333333335</v>
      </c>
      <c r="O90" s="63">
        <f t="shared" si="9"/>
        <v>3583.3333333333335</v>
      </c>
      <c r="P90" s="63">
        <f t="shared" si="9"/>
        <v>3583.3333333333335</v>
      </c>
      <c r="Q90" s="3">
        <f t="shared" si="6"/>
        <v>43000</v>
      </c>
      <c r="R90" s="39">
        <f>Q90/Summary!$Q$16</f>
        <v>5.3986029078572674E-4</v>
      </c>
      <c r="S90" s="307"/>
      <c r="T90" s="308" t="e">
        <f t="shared" si="8"/>
        <v>#DIV/0!</v>
      </c>
    </row>
    <row r="91" spans="1:21" s="306" customFormat="1" ht="25.4" customHeight="1">
      <c r="A91" s="306" t="s">
        <v>272</v>
      </c>
      <c r="B91" s="306" t="s">
        <v>999</v>
      </c>
      <c r="D91" s="26" t="s">
        <v>273</v>
      </c>
      <c r="E91" s="63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>
        <f t="shared" si="6"/>
        <v>0</v>
      </c>
      <c r="R91" s="39">
        <f>Q91/Summary!$Q$16</f>
        <v>0</v>
      </c>
      <c r="S91" s="307"/>
      <c r="T91" s="308">
        <f t="shared" si="8"/>
        <v>0</v>
      </c>
    </row>
    <row r="92" spans="1:21" s="3" customFormat="1" ht="25.4" hidden="1" customHeight="1">
      <c r="A92" s="3" t="s">
        <v>868</v>
      </c>
      <c r="B92" s="3" t="s">
        <v>999</v>
      </c>
      <c r="D92" s="26" t="s">
        <v>869</v>
      </c>
      <c r="E92" s="63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>
        <f t="shared" si="6"/>
        <v>0</v>
      </c>
      <c r="R92" s="39">
        <f>Q92/Summary!$Q$16</f>
        <v>0</v>
      </c>
      <c r="S92" s="35"/>
      <c r="T92" s="40">
        <f t="shared" si="8"/>
        <v>0</v>
      </c>
    </row>
    <row r="93" spans="1:21" s="3" customFormat="1" ht="25.4" hidden="1" customHeight="1">
      <c r="A93" s="3" t="s">
        <v>870</v>
      </c>
      <c r="B93" s="3" t="s">
        <v>999</v>
      </c>
      <c r="D93" s="26" t="s">
        <v>871</v>
      </c>
      <c r="E93" s="63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3">
        <f t="shared" si="6"/>
        <v>0</v>
      </c>
      <c r="R93" s="39">
        <f>Q93/Summary!$Q$16</f>
        <v>0</v>
      </c>
      <c r="S93" s="35"/>
      <c r="T93" s="40">
        <f t="shared" si="8"/>
        <v>0</v>
      </c>
    </row>
    <row r="94" spans="1:21" s="3" customFormat="1" ht="25.4" hidden="1" customHeight="1">
      <c r="A94" s="3" t="s">
        <v>872</v>
      </c>
      <c r="B94" s="3" t="s">
        <v>999</v>
      </c>
      <c r="D94" s="26" t="s">
        <v>873</v>
      </c>
      <c r="E94" s="63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">
        <f t="shared" si="6"/>
        <v>0</v>
      </c>
      <c r="R94" s="39">
        <f>Q94/Summary!$Q$16</f>
        <v>0</v>
      </c>
      <c r="S94" s="35"/>
      <c r="T94" s="40">
        <f t="shared" si="8"/>
        <v>0</v>
      </c>
    </row>
    <row r="95" spans="1:21" s="3" customFormat="1" ht="25.4" hidden="1" customHeight="1">
      <c r="A95" s="3" t="s">
        <v>874</v>
      </c>
      <c r="B95" s="3" t="s">
        <v>999</v>
      </c>
      <c r="D95" s="26" t="s">
        <v>875</v>
      </c>
      <c r="E95" s="63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si="6"/>
        <v>0</v>
      </c>
      <c r="R95" s="39">
        <f>Q95/Summary!$Q$16</f>
        <v>0</v>
      </c>
      <c r="S95" s="35"/>
      <c r="T95" s="40">
        <f t="shared" si="8"/>
        <v>0</v>
      </c>
    </row>
    <row r="96" spans="1:21" s="3" customFormat="1" ht="25.4" hidden="1" customHeight="1">
      <c r="A96" s="3" t="s">
        <v>876</v>
      </c>
      <c r="B96" s="3" t="s">
        <v>999</v>
      </c>
      <c r="D96" s="26" t="s">
        <v>877</v>
      </c>
      <c r="E96" s="63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6"/>
        <v>0</v>
      </c>
      <c r="R96" s="39">
        <f>Q96/Summary!$Q$16</f>
        <v>0</v>
      </c>
      <c r="S96" s="35"/>
      <c r="T96" s="40">
        <f t="shared" si="8"/>
        <v>0</v>
      </c>
    </row>
    <row r="97" spans="1:20" s="3" customFormat="1" ht="25.4" hidden="1" customHeight="1">
      <c r="A97" s="3" t="s">
        <v>878</v>
      </c>
      <c r="B97" s="3" t="s">
        <v>999</v>
      </c>
      <c r="D97" s="26" t="s">
        <v>879</v>
      </c>
      <c r="E97" s="63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6"/>
        <v>0</v>
      </c>
      <c r="R97" s="39">
        <f>Q97/Summary!$Q$16</f>
        <v>0</v>
      </c>
      <c r="S97" s="35"/>
      <c r="T97" s="40">
        <f t="shared" si="8"/>
        <v>0</v>
      </c>
    </row>
    <row r="98" spans="1:20" s="3" customFormat="1" ht="25.4" hidden="1" customHeight="1">
      <c r="A98" s="3" t="s">
        <v>880</v>
      </c>
      <c r="B98" s="3" t="s">
        <v>999</v>
      </c>
      <c r="D98" s="26" t="s">
        <v>881</v>
      </c>
      <c r="E98" s="63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6"/>
        <v>0</v>
      </c>
      <c r="R98" s="39">
        <f>Q98/Summary!$Q$16</f>
        <v>0</v>
      </c>
      <c r="S98" s="35"/>
      <c r="T98" s="40">
        <f t="shared" si="8"/>
        <v>0</v>
      </c>
    </row>
    <row r="99" spans="1:20" s="3" customFormat="1" ht="25.4" hidden="1" customHeight="1">
      <c r="A99" s="3" t="s">
        <v>882</v>
      </c>
      <c r="B99" s="3" t="s">
        <v>999</v>
      </c>
      <c r="D99" s="26" t="s">
        <v>883</v>
      </c>
      <c r="E99" s="63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6"/>
        <v>0</v>
      </c>
      <c r="R99" s="39">
        <f>Q99/Summary!$Q$16</f>
        <v>0</v>
      </c>
      <c r="S99" s="35"/>
      <c r="T99" s="40">
        <f t="shared" si="8"/>
        <v>0</v>
      </c>
    </row>
    <row r="100" spans="1:20" s="3" customFormat="1" ht="25.4" hidden="1" customHeight="1">
      <c r="A100" s="3" t="s">
        <v>884</v>
      </c>
      <c r="B100" s="3" t="s">
        <v>999</v>
      </c>
      <c r="D100" s="26" t="s">
        <v>885</v>
      </c>
      <c r="E100" s="63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>
        <f t="shared" si="6"/>
        <v>0</v>
      </c>
      <c r="R100" s="39">
        <f>Q100/Summary!$Q$16</f>
        <v>0</v>
      </c>
      <c r="S100" s="35"/>
      <c r="T100" s="40">
        <f t="shared" si="8"/>
        <v>0</v>
      </c>
    </row>
    <row r="101" spans="1:20" s="3" customFormat="1" ht="25.4" hidden="1" customHeight="1">
      <c r="A101" s="3" t="s">
        <v>886</v>
      </c>
      <c r="B101" s="3" t="s">
        <v>999</v>
      </c>
      <c r="D101" s="26" t="s">
        <v>887</v>
      </c>
      <c r="E101" s="63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>
        <f t="shared" si="6"/>
        <v>0</v>
      </c>
      <c r="R101" s="39">
        <f>Q101/Summary!$Q$16</f>
        <v>0</v>
      </c>
      <c r="S101" s="35"/>
      <c r="T101" s="40">
        <f t="shared" si="8"/>
        <v>0</v>
      </c>
    </row>
    <row r="102" spans="1:20" s="3" customFormat="1" ht="25.4" hidden="1" customHeight="1">
      <c r="A102" s="3" t="s">
        <v>888</v>
      </c>
      <c r="B102" s="3" t="s">
        <v>999</v>
      </c>
      <c r="D102" s="26" t="s">
        <v>889</v>
      </c>
      <c r="E102" s="63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>
        <f t="shared" si="6"/>
        <v>0</v>
      </c>
      <c r="R102" s="39">
        <f>Q102/Summary!$Q$16</f>
        <v>0</v>
      </c>
      <c r="S102" s="35"/>
      <c r="T102" s="40">
        <f t="shared" si="8"/>
        <v>0</v>
      </c>
    </row>
    <row r="103" spans="1:20" s="3" customFormat="1" ht="25.4" hidden="1" customHeight="1">
      <c r="A103" s="3" t="s">
        <v>890</v>
      </c>
      <c r="B103" s="3" t="s">
        <v>999</v>
      </c>
      <c r="D103" s="26" t="s">
        <v>891</v>
      </c>
      <c r="E103" s="63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>
        <f t="shared" si="6"/>
        <v>0</v>
      </c>
      <c r="R103" s="39">
        <f>Q103/Summary!$Q$16</f>
        <v>0</v>
      </c>
      <c r="S103" s="35"/>
      <c r="T103" s="40">
        <f t="shared" si="8"/>
        <v>0</v>
      </c>
    </row>
    <row r="104" spans="1:20" s="3" customFormat="1" ht="25.4" hidden="1" customHeight="1">
      <c r="A104" s="3" t="s">
        <v>892</v>
      </c>
      <c r="B104" s="3" t="s">
        <v>999</v>
      </c>
      <c r="D104" s="26" t="s">
        <v>893</v>
      </c>
      <c r="E104" s="63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>
        <f t="shared" si="6"/>
        <v>0</v>
      </c>
      <c r="R104" s="39">
        <f>Q104/Summary!$Q$16</f>
        <v>0</v>
      </c>
      <c r="S104" s="35"/>
      <c r="T104" s="40">
        <f t="shared" si="8"/>
        <v>0</v>
      </c>
    </row>
    <row r="105" spans="1:20" s="3" customFormat="1" ht="25.4" hidden="1" customHeight="1">
      <c r="A105" s="3" t="s">
        <v>894</v>
      </c>
      <c r="B105" s="3" t="s">
        <v>999</v>
      </c>
      <c r="D105" s="26" t="s">
        <v>895</v>
      </c>
      <c r="E105" s="63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si="6"/>
        <v>0</v>
      </c>
      <c r="R105" s="39">
        <f>Q105/Summary!$Q$16</f>
        <v>0</v>
      </c>
      <c r="S105" s="35"/>
      <c r="T105" s="40">
        <f t="shared" si="8"/>
        <v>0</v>
      </c>
    </row>
    <row r="106" spans="1:20" s="3" customFormat="1" ht="25.4" hidden="1" customHeight="1">
      <c r="A106" s="3" t="s">
        <v>896</v>
      </c>
      <c r="B106" s="3" t="s">
        <v>999</v>
      </c>
      <c r="D106" s="26" t="s">
        <v>897</v>
      </c>
      <c r="E106" s="63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6"/>
        <v>0</v>
      </c>
      <c r="R106" s="39">
        <f>Q106/Summary!$Q$16</f>
        <v>0</v>
      </c>
      <c r="S106" s="35"/>
      <c r="T106" s="40">
        <f t="shared" si="8"/>
        <v>0</v>
      </c>
    </row>
    <row r="107" spans="1:20" s="3" customFormat="1" ht="25.4" hidden="1" customHeight="1">
      <c r="A107" s="3" t="s">
        <v>898</v>
      </c>
      <c r="B107" s="3" t="s">
        <v>999</v>
      </c>
      <c r="D107" s="26" t="s">
        <v>899</v>
      </c>
      <c r="E107" s="63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6"/>
        <v>0</v>
      </c>
      <c r="R107" s="39">
        <f>Q107/Summary!$Q$16</f>
        <v>0</v>
      </c>
      <c r="S107" s="35"/>
      <c r="T107" s="40">
        <f t="shared" si="8"/>
        <v>0</v>
      </c>
    </row>
    <row r="108" spans="1:20" s="3" customFormat="1" ht="25.4" hidden="1" customHeight="1">
      <c r="A108" s="3" t="s">
        <v>900</v>
      </c>
      <c r="B108" s="3" t="s">
        <v>999</v>
      </c>
      <c r="D108" s="26" t="s">
        <v>901</v>
      </c>
      <c r="E108" s="63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6"/>
        <v>0</v>
      </c>
      <c r="R108" s="39">
        <f>Q108/Summary!$Q$16</f>
        <v>0</v>
      </c>
      <c r="S108" s="35"/>
      <c r="T108" s="40">
        <f t="shared" si="8"/>
        <v>0</v>
      </c>
    </row>
    <row r="109" spans="1:20" s="3" customFormat="1" ht="25.4" hidden="1" customHeight="1">
      <c r="A109" s="3" t="s">
        <v>902</v>
      </c>
      <c r="B109" s="3" t="s">
        <v>999</v>
      </c>
      <c r="D109" s="26" t="s">
        <v>903</v>
      </c>
      <c r="E109" s="63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6"/>
        <v>0</v>
      </c>
      <c r="R109" s="39">
        <f>Q109/Summary!$Q$16</f>
        <v>0</v>
      </c>
      <c r="S109" s="35"/>
      <c r="T109" s="40">
        <f t="shared" si="8"/>
        <v>0</v>
      </c>
    </row>
    <row r="110" spans="1:20" s="3" customFormat="1" ht="25.4" hidden="1" customHeight="1">
      <c r="A110" s="3" t="s">
        <v>904</v>
      </c>
      <c r="B110" s="3" t="s">
        <v>999</v>
      </c>
      <c r="D110" s="26" t="s">
        <v>905</v>
      </c>
      <c r="E110" s="63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6"/>
        <v>0</v>
      </c>
      <c r="R110" s="39">
        <f>Q110/Summary!$Q$16</f>
        <v>0</v>
      </c>
      <c r="S110" s="35"/>
      <c r="T110" s="40">
        <f t="shared" si="8"/>
        <v>0</v>
      </c>
    </row>
    <row r="111" spans="1:20" s="3" customFormat="1" ht="25.4" hidden="1" customHeight="1">
      <c r="A111" s="3" t="s">
        <v>906</v>
      </c>
      <c r="B111" s="3" t="s">
        <v>999</v>
      </c>
      <c r="D111" s="26" t="s">
        <v>907</v>
      </c>
      <c r="E111" s="63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6"/>
        <v>0</v>
      </c>
      <c r="R111" s="39">
        <f>Q111/Summary!$Q$16</f>
        <v>0</v>
      </c>
      <c r="S111" s="35"/>
      <c r="T111" s="40">
        <f t="shared" si="8"/>
        <v>0</v>
      </c>
    </row>
    <row r="112" spans="1:20" s="3" customFormat="1" ht="25.4" hidden="1" customHeight="1">
      <c r="A112" s="3" t="s">
        <v>908</v>
      </c>
      <c r="B112" s="3" t="s">
        <v>999</v>
      </c>
      <c r="D112" s="26" t="s">
        <v>909</v>
      </c>
      <c r="E112" s="63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 t="shared" si="6"/>
        <v>0</v>
      </c>
      <c r="R112" s="39">
        <f>Q112/Summary!$Q$16</f>
        <v>0</v>
      </c>
      <c r="S112" s="35"/>
      <c r="T112" s="40">
        <f t="shared" si="8"/>
        <v>0</v>
      </c>
    </row>
    <row r="113" spans="1:20" s="3" customFormat="1" ht="25.4" hidden="1" customHeight="1">
      <c r="A113" s="3" t="s">
        <v>910</v>
      </c>
      <c r="B113" s="3" t="s">
        <v>999</v>
      </c>
      <c r="D113" s="26" t="s">
        <v>911</v>
      </c>
      <c r="E113" s="63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si="6"/>
        <v>0</v>
      </c>
      <c r="R113" s="39">
        <f>Q113/Summary!$Q$16</f>
        <v>0</v>
      </c>
      <c r="S113" s="35"/>
      <c r="T113" s="40">
        <f t="shared" si="8"/>
        <v>0</v>
      </c>
    </row>
    <row r="114" spans="1:20" s="3" customFormat="1" ht="25.4" hidden="1" customHeight="1">
      <c r="A114" s="3" t="s">
        <v>912</v>
      </c>
      <c r="B114" s="3" t="s">
        <v>999</v>
      </c>
      <c r="D114" s="26" t="s">
        <v>913</v>
      </c>
      <c r="E114" s="63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6"/>
        <v>0</v>
      </c>
      <c r="R114" s="39">
        <f>Q114/Summary!$Q$16</f>
        <v>0</v>
      </c>
      <c r="S114" s="35"/>
      <c r="T114" s="40">
        <f t="shared" si="8"/>
        <v>0</v>
      </c>
    </row>
    <row r="115" spans="1:20" s="3" customFormat="1" ht="25.4" hidden="1" customHeight="1">
      <c r="A115" s="3" t="s">
        <v>914</v>
      </c>
      <c r="B115" s="3" t="s">
        <v>999</v>
      </c>
      <c r="D115" s="26" t="s">
        <v>915</v>
      </c>
      <c r="E115" s="63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6"/>
        <v>0</v>
      </c>
      <c r="R115" s="39">
        <f>Q115/Summary!$Q$16</f>
        <v>0</v>
      </c>
      <c r="S115" s="35"/>
      <c r="T115" s="40">
        <f t="shared" si="8"/>
        <v>0</v>
      </c>
    </row>
    <row r="116" spans="1:20" s="3" customFormat="1" ht="25.4" hidden="1" customHeight="1">
      <c r="A116" s="3" t="s">
        <v>916</v>
      </c>
      <c r="B116" s="3" t="s">
        <v>999</v>
      </c>
      <c r="D116" s="26" t="s">
        <v>917</v>
      </c>
      <c r="E116" s="63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6"/>
        <v>0</v>
      </c>
      <c r="R116" s="39">
        <f>Q116/Summary!$Q$16</f>
        <v>0</v>
      </c>
      <c r="S116" s="35"/>
      <c r="T116" s="40">
        <f t="shared" si="8"/>
        <v>0</v>
      </c>
    </row>
    <row r="117" spans="1:20" s="3" customFormat="1" ht="25.4" hidden="1" customHeight="1">
      <c r="A117" s="3" t="s">
        <v>918</v>
      </c>
      <c r="B117" s="3" t="s">
        <v>999</v>
      </c>
      <c r="D117" s="26" t="s">
        <v>919</v>
      </c>
      <c r="E117" s="63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6"/>
        <v>0</v>
      </c>
      <c r="R117" s="39">
        <f>Q117/Summary!$Q$16</f>
        <v>0</v>
      </c>
      <c r="S117" s="35"/>
      <c r="T117" s="40">
        <f t="shared" si="8"/>
        <v>0</v>
      </c>
    </row>
    <row r="118" spans="1:20" s="3" customFormat="1" ht="25.4" hidden="1" customHeight="1">
      <c r="A118" s="3" t="s">
        <v>920</v>
      </c>
      <c r="B118" s="3" t="s">
        <v>999</v>
      </c>
      <c r="D118" s="26" t="s">
        <v>921</v>
      </c>
      <c r="E118" s="63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6"/>
        <v>0</v>
      </c>
      <c r="R118" s="39">
        <f>Q118/Summary!$Q$16</f>
        <v>0</v>
      </c>
      <c r="S118" s="35"/>
      <c r="T118" s="40">
        <f t="shared" si="8"/>
        <v>0</v>
      </c>
    </row>
    <row r="119" spans="1:20" s="3" customFormat="1" ht="25.4" hidden="1" customHeight="1">
      <c r="A119" s="3" t="s">
        <v>922</v>
      </c>
      <c r="B119" s="3" t="s">
        <v>999</v>
      </c>
      <c r="D119" s="26" t="s">
        <v>923</v>
      </c>
      <c r="E119" s="63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6"/>
        <v>0</v>
      </c>
      <c r="R119" s="39">
        <f>Q119/Summary!$Q$16</f>
        <v>0</v>
      </c>
      <c r="S119" s="35"/>
      <c r="T119" s="40">
        <f t="shared" si="8"/>
        <v>0</v>
      </c>
    </row>
    <row r="120" spans="1:20" s="3" customFormat="1" ht="25.4" hidden="1" customHeight="1">
      <c r="A120" s="3" t="s">
        <v>924</v>
      </c>
      <c r="B120" s="3" t="s">
        <v>999</v>
      </c>
      <c r="D120" s="26" t="s">
        <v>925</v>
      </c>
      <c r="E120" s="63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6"/>
        <v>0</v>
      </c>
      <c r="R120" s="39">
        <f>Q120/Summary!$Q$16</f>
        <v>0</v>
      </c>
      <c r="S120" s="35"/>
      <c r="T120" s="40">
        <f t="shared" si="8"/>
        <v>0</v>
      </c>
    </row>
    <row r="121" spans="1:20" s="3" customFormat="1" ht="25.4" hidden="1" customHeight="1">
      <c r="A121" s="3" t="s">
        <v>926</v>
      </c>
      <c r="B121" s="3" t="s">
        <v>999</v>
      </c>
      <c r="D121" s="26" t="s">
        <v>927</v>
      </c>
      <c r="E121" s="63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6"/>
        <v>0</v>
      </c>
      <c r="R121" s="39">
        <f>Q121/Summary!$Q$16</f>
        <v>0</v>
      </c>
      <c r="S121" s="35"/>
      <c r="T121" s="40">
        <f t="shared" ref="T121:T152" si="10">-IF(Q121-S121=0,0,(Q121-S121)/S121)</f>
        <v>0</v>
      </c>
    </row>
    <row r="122" spans="1:20" s="3" customFormat="1" ht="25.4" hidden="1" customHeight="1">
      <c r="A122" s="3" t="s">
        <v>928</v>
      </c>
      <c r="B122" s="3" t="s">
        <v>999</v>
      </c>
      <c r="D122" s="26" t="s">
        <v>929</v>
      </c>
      <c r="E122" s="63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3">
        <f t="shared" si="6"/>
        <v>0</v>
      </c>
      <c r="R122" s="39">
        <f>Q122/Summary!$Q$16</f>
        <v>0</v>
      </c>
      <c r="S122" s="35"/>
      <c r="T122" s="40">
        <f t="shared" si="10"/>
        <v>0</v>
      </c>
    </row>
    <row r="123" spans="1:20" s="3" customFormat="1" ht="25.4" hidden="1" customHeight="1">
      <c r="A123" s="3" t="s">
        <v>930</v>
      </c>
      <c r="B123" s="3" t="s">
        <v>999</v>
      </c>
      <c r="D123" s="26" t="s">
        <v>931</v>
      </c>
      <c r="E123" s="63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3">
        <f t="shared" si="6"/>
        <v>0</v>
      </c>
      <c r="R123" s="39">
        <f>Q123/Summary!$Q$16</f>
        <v>0</v>
      </c>
      <c r="S123" s="35"/>
      <c r="T123" s="40">
        <f t="shared" si="10"/>
        <v>0</v>
      </c>
    </row>
    <row r="124" spans="1:20" s="3" customFormat="1" ht="25.4" hidden="1" customHeight="1">
      <c r="A124" s="3" t="s">
        <v>932</v>
      </c>
      <c r="B124" s="3" t="s">
        <v>999</v>
      </c>
      <c r="D124" s="26" t="s">
        <v>933</v>
      </c>
      <c r="E124" s="63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3">
        <f t="shared" si="6"/>
        <v>0</v>
      </c>
      <c r="R124" s="39">
        <f>Q124/Summary!$Q$16</f>
        <v>0</v>
      </c>
      <c r="S124" s="35"/>
      <c r="T124" s="40">
        <f t="shared" si="10"/>
        <v>0</v>
      </c>
    </row>
    <row r="125" spans="1:20" s="3" customFormat="1" ht="25.4" hidden="1" customHeight="1">
      <c r="A125" s="3" t="s">
        <v>934</v>
      </c>
      <c r="B125" s="3" t="s">
        <v>999</v>
      </c>
      <c r="D125" s="26" t="s">
        <v>935</v>
      </c>
      <c r="E125" s="63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3">
        <f t="shared" si="6"/>
        <v>0</v>
      </c>
      <c r="R125" s="39">
        <f>Q125/Summary!$Q$16</f>
        <v>0</v>
      </c>
      <c r="S125" s="35"/>
      <c r="T125" s="40">
        <f t="shared" si="10"/>
        <v>0</v>
      </c>
    </row>
    <row r="126" spans="1:20" s="3" customFormat="1" ht="25.4" hidden="1" customHeight="1">
      <c r="A126" s="3" t="s">
        <v>936</v>
      </c>
      <c r="B126" s="3" t="s">
        <v>999</v>
      </c>
      <c r="D126" s="26" t="s">
        <v>937</v>
      </c>
      <c r="E126" s="63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3">
        <f t="shared" si="6"/>
        <v>0</v>
      </c>
      <c r="R126" s="39">
        <f>Q126/Summary!$Q$16</f>
        <v>0</v>
      </c>
      <c r="S126" s="35"/>
      <c r="T126" s="40">
        <f t="shared" si="10"/>
        <v>0</v>
      </c>
    </row>
    <row r="127" spans="1:20" s="3" customFormat="1" ht="25.4" hidden="1" customHeight="1">
      <c r="A127" s="3" t="s">
        <v>938</v>
      </c>
      <c r="B127" s="3" t="s">
        <v>999</v>
      </c>
      <c r="D127" s="26" t="s">
        <v>939</v>
      </c>
      <c r="E127" s="63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3">
        <f t="shared" si="6"/>
        <v>0</v>
      </c>
      <c r="R127" s="39">
        <f>Q127/Summary!$Q$16</f>
        <v>0</v>
      </c>
      <c r="S127" s="35"/>
      <c r="T127" s="40">
        <f t="shared" si="10"/>
        <v>0</v>
      </c>
    </row>
    <row r="128" spans="1:20" s="3" customFormat="1" ht="25.4" hidden="1" customHeight="1">
      <c r="A128" s="3" t="s">
        <v>940</v>
      </c>
      <c r="B128" s="3" t="s">
        <v>999</v>
      </c>
      <c r="D128" s="26" t="s">
        <v>941</v>
      </c>
      <c r="E128" s="63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3">
        <f t="shared" si="6"/>
        <v>0</v>
      </c>
      <c r="R128" s="39">
        <f>Q128/Summary!$Q$16</f>
        <v>0</v>
      </c>
      <c r="S128" s="35"/>
      <c r="T128" s="40">
        <f t="shared" si="10"/>
        <v>0</v>
      </c>
    </row>
    <row r="129" spans="1:20" s="3" customFormat="1" ht="25.4" hidden="1" customHeight="1">
      <c r="A129" s="3" t="s">
        <v>942</v>
      </c>
      <c r="B129" s="3" t="s">
        <v>999</v>
      </c>
      <c r="D129" s="26" t="s">
        <v>943</v>
      </c>
      <c r="E129" s="63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3">
        <f t="shared" si="6"/>
        <v>0</v>
      </c>
      <c r="R129" s="39">
        <f>Q129/Summary!$Q$16</f>
        <v>0</v>
      </c>
      <c r="S129" s="35"/>
      <c r="T129" s="40">
        <f t="shared" si="10"/>
        <v>0</v>
      </c>
    </row>
    <row r="130" spans="1:20" s="3" customFormat="1" ht="25.4" hidden="1" customHeight="1">
      <c r="A130" s="3" t="s">
        <v>944</v>
      </c>
      <c r="B130" s="3" t="s">
        <v>999</v>
      </c>
      <c r="D130" s="26" t="s">
        <v>945</v>
      </c>
      <c r="E130" s="63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3">
        <f t="shared" si="6"/>
        <v>0</v>
      </c>
      <c r="R130" s="39">
        <f>Q130/Summary!$Q$16</f>
        <v>0</v>
      </c>
      <c r="S130" s="35"/>
      <c r="T130" s="40">
        <f t="shared" si="10"/>
        <v>0</v>
      </c>
    </row>
    <row r="131" spans="1:20" s="3" customFormat="1" ht="25.4" hidden="1" customHeight="1">
      <c r="A131" s="3" t="s">
        <v>946</v>
      </c>
      <c r="B131" s="3" t="s">
        <v>999</v>
      </c>
      <c r="D131" s="26" t="s">
        <v>947</v>
      </c>
      <c r="E131" s="63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3">
        <f t="shared" si="6"/>
        <v>0</v>
      </c>
      <c r="R131" s="39">
        <f>Q131/Summary!$Q$16</f>
        <v>0</v>
      </c>
      <c r="S131" s="35"/>
      <c r="T131" s="40">
        <f t="shared" si="10"/>
        <v>0</v>
      </c>
    </row>
    <row r="132" spans="1:20" s="3" customFormat="1" ht="25.4" hidden="1" customHeight="1">
      <c r="A132" s="3" t="s">
        <v>948</v>
      </c>
      <c r="B132" s="3" t="s">
        <v>999</v>
      </c>
      <c r="D132" s="26" t="s">
        <v>949</v>
      </c>
      <c r="E132" s="63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3">
        <f t="shared" si="6"/>
        <v>0</v>
      </c>
      <c r="R132" s="39">
        <f>Q132/Summary!$Q$16</f>
        <v>0</v>
      </c>
      <c r="S132" s="35"/>
      <c r="T132" s="40">
        <f t="shared" si="10"/>
        <v>0</v>
      </c>
    </row>
    <row r="133" spans="1:20" s="3" customFormat="1" ht="25.4" hidden="1" customHeight="1">
      <c r="A133" s="3" t="s">
        <v>950</v>
      </c>
      <c r="B133" s="3" t="s">
        <v>999</v>
      </c>
      <c r="D133" s="26" t="s">
        <v>951</v>
      </c>
      <c r="E133" s="63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3">
        <f t="shared" si="6"/>
        <v>0</v>
      </c>
      <c r="R133" s="39">
        <f>Q133/Summary!$Q$16</f>
        <v>0</v>
      </c>
      <c r="S133" s="35"/>
      <c r="T133" s="40">
        <f t="shared" si="10"/>
        <v>0</v>
      </c>
    </row>
    <row r="134" spans="1:20" s="3" customFormat="1" ht="25.4" hidden="1" customHeight="1">
      <c r="A134" s="3" t="s">
        <v>952</v>
      </c>
      <c r="B134" s="3" t="s">
        <v>999</v>
      </c>
      <c r="D134" s="26" t="s">
        <v>953</v>
      </c>
      <c r="E134" s="63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3">
        <f t="shared" si="6"/>
        <v>0</v>
      </c>
      <c r="R134" s="39">
        <f>Q134/Summary!$Q$16</f>
        <v>0</v>
      </c>
      <c r="S134" s="35"/>
      <c r="T134" s="40">
        <f t="shared" si="10"/>
        <v>0</v>
      </c>
    </row>
    <row r="135" spans="1:20" s="3" customFormat="1" ht="25.4" hidden="1" customHeight="1">
      <c r="A135" s="3" t="s">
        <v>954</v>
      </c>
      <c r="B135" s="3" t="s">
        <v>999</v>
      </c>
      <c r="D135" s="26" t="s">
        <v>955</v>
      </c>
      <c r="E135" s="63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3">
        <f t="shared" si="6"/>
        <v>0</v>
      </c>
      <c r="R135" s="39">
        <f>Q135/Summary!$Q$16</f>
        <v>0</v>
      </c>
      <c r="S135" s="35"/>
      <c r="T135" s="40">
        <f t="shared" si="10"/>
        <v>0</v>
      </c>
    </row>
    <row r="136" spans="1:20" s="3" customFormat="1" ht="25.4" hidden="1" customHeight="1">
      <c r="A136" s="3" t="s">
        <v>956</v>
      </c>
      <c r="B136" s="3" t="s">
        <v>999</v>
      </c>
      <c r="D136" s="26" t="s">
        <v>957</v>
      </c>
      <c r="E136" s="63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3">
        <f t="shared" si="6"/>
        <v>0</v>
      </c>
      <c r="R136" s="39">
        <f>Q136/Summary!$Q$16</f>
        <v>0</v>
      </c>
      <c r="S136" s="35"/>
      <c r="T136" s="40">
        <f t="shared" si="10"/>
        <v>0</v>
      </c>
    </row>
    <row r="137" spans="1:20" s="3" customFormat="1" ht="25.4" hidden="1" customHeight="1">
      <c r="A137" s="3" t="s">
        <v>958</v>
      </c>
      <c r="B137" s="3" t="s">
        <v>999</v>
      </c>
      <c r="D137" s="26" t="s">
        <v>959</v>
      </c>
      <c r="E137" s="63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3">
        <f t="shared" si="6"/>
        <v>0</v>
      </c>
      <c r="R137" s="39">
        <f>Q137/Summary!$Q$16</f>
        <v>0</v>
      </c>
      <c r="S137" s="35"/>
      <c r="T137" s="40">
        <f t="shared" si="10"/>
        <v>0</v>
      </c>
    </row>
    <row r="138" spans="1:20" s="3" customFormat="1" ht="25.4" hidden="1" customHeight="1">
      <c r="A138" s="3" t="s">
        <v>960</v>
      </c>
      <c r="B138" s="3" t="s">
        <v>999</v>
      </c>
      <c r="D138" s="26" t="s">
        <v>961</v>
      </c>
      <c r="E138" s="63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3">
        <f t="shared" si="6"/>
        <v>0</v>
      </c>
      <c r="R138" s="39">
        <f>Q138/Summary!$Q$16</f>
        <v>0</v>
      </c>
      <c r="S138" s="35"/>
      <c r="T138" s="40">
        <f t="shared" si="10"/>
        <v>0</v>
      </c>
    </row>
    <row r="139" spans="1:20" s="3" customFormat="1" ht="25.4" hidden="1" customHeight="1">
      <c r="A139" s="3" t="s">
        <v>962</v>
      </c>
      <c r="B139" s="3" t="s">
        <v>999</v>
      </c>
      <c r="D139" s="26" t="s">
        <v>963</v>
      </c>
      <c r="E139" s="63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3">
        <f t="shared" si="6"/>
        <v>0</v>
      </c>
      <c r="R139" s="39">
        <f>Q139/Summary!$Q$16</f>
        <v>0</v>
      </c>
      <c r="S139" s="35"/>
      <c r="T139" s="40">
        <f t="shared" si="10"/>
        <v>0</v>
      </c>
    </row>
    <row r="140" spans="1:20" s="3" customFormat="1" ht="25.4" hidden="1" customHeight="1">
      <c r="A140" s="3" t="s">
        <v>964</v>
      </c>
      <c r="B140" s="3" t="s">
        <v>999</v>
      </c>
      <c r="D140" s="26" t="s">
        <v>965</v>
      </c>
      <c r="E140" s="63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3">
        <f t="shared" si="6"/>
        <v>0</v>
      </c>
      <c r="R140" s="39">
        <f>Q140/Summary!$Q$16</f>
        <v>0</v>
      </c>
      <c r="S140" s="35"/>
      <c r="T140" s="40">
        <f t="shared" si="10"/>
        <v>0</v>
      </c>
    </row>
    <row r="141" spans="1:20" s="3" customFormat="1" ht="25.4" hidden="1" customHeight="1">
      <c r="A141" s="3" t="s">
        <v>966</v>
      </c>
      <c r="B141" s="3" t="s">
        <v>999</v>
      </c>
      <c r="D141" s="26" t="s">
        <v>967</v>
      </c>
      <c r="E141" s="63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3">
        <f t="shared" si="6"/>
        <v>0</v>
      </c>
      <c r="R141" s="39">
        <f>Q141/Summary!$Q$16</f>
        <v>0</v>
      </c>
      <c r="S141" s="35"/>
      <c r="T141" s="40">
        <f t="shared" si="10"/>
        <v>0</v>
      </c>
    </row>
    <row r="142" spans="1:20" s="3" customFormat="1" ht="25.4" hidden="1" customHeight="1">
      <c r="A142" s="3" t="s">
        <v>968</v>
      </c>
      <c r="B142" s="3" t="s">
        <v>999</v>
      </c>
      <c r="D142" s="26" t="s">
        <v>969</v>
      </c>
      <c r="E142" s="63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3">
        <f t="shared" si="6"/>
        <v>0</v>
      </c>
      <c r="R142" s="39">
        <f>Q142/Summary!$Q$16</f>
        <v>0</v>
      </c>
      <c r="S142" s="35"/>
      <c r="T142" s="40">
        <f t="shared" si="10"/>
        <v>0</v>
      </c>
    </row>
    <row r="143" spans="1:20" s="3" customFormat="1" ht="25.4" hidden="1" customHeight="1">
      <c r="A143" s="3" t="s">
        <v>970</v>
      </c>
      <c r="B143" s="3" t="s">
        <v>999</v>
      </c>
      <c r="D143" s="26" t="s">
        <v>971</v>
      </c>
      <c r="E143" s="63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3">
        <f t="shared" si="6"/>
        <v>0</v>
      </c>
      <c r="R143" s="39">
        <f>Q143/Summary!$Q$16</f>
        <v>0</v>
      </c>
      <c r="S143" s="35"/>
      <c r="T143" s="40">
        <f t="shared" si="10"/>
        <v>0</v>
      </c>
    </row>
    <row r="144" spans="1:20" s="3" customFormat="1" ht="25.4" hidden="1" customHeight="1">
      <c r="A144" s="3" t="s">
        <v>972</v>
      </c>
      <c r="B144" s="3" t="s">
        <v>999</v>
      </c>
      <c r="D144" s="26" t="s">
        <v>973</v>
      </c>
      <c r="E144" s="63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3">
        <f t="shared" ref="Q144:Q157" si="11">SUM(E144:P144)</f>
        <v>0</v>
      </c>
      <c r="R144" s="39">
        <f>Q144/Summary!$Q$16</f>
        <v>0</v>
      </c>
      <c r="S144" s="35"/>
      <c r="T144" s="40">
        <f t="shared" si="10"/>
        <v>0</v>
      </c>
    </row>
    <row r="145" spans="1:20" s="3" customFormat="1" ht="25.4" hidden="1" customHeight="1">
      <c r="A145" s="3" t="s">
        <v>974</v>
      </c>
      <c r="B145" s="3" t="s">
        <v>999</v>
      </c>
      <c r="D145" s="26" t="s">
        <v>975</v>
      </c>
      <c r="E145" s="63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3">
        <f t="shared" si="11"/>
        <v>0</v>
      </c>
      <c r="R145" s="39">
        <f>Q145/Summary!$Q$16</f>
        <v>0</v>
      </c>
      <c r="S145" s="35"/>
      <c r="T145" s="40">
        <f t="shared" si="10"/>
        <v>0</v>
      </c>
    </row>
    <row r="146" spans="1:20" s="3" customFormat="1" ht="25.4" hidden="1" customHeight="1">
      <c r="A146" s="3" t="s">
        <v>976</v>
      </c>
      <c r="B146" s="3" t="s">
        <v>999</v>
      </c>
      <c r="D146" s="26" t="s">
        <v>977</v>
      </c>
      <c r="E146" s="63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3">
        <f t="shared" si="11"/>
        <v>0</v>
      </c>
      <c r="R146" s="39">
        <f>Q146/Summary!$Q$16</f>
        <v>0</v>
      </c>
      <c r="S146" s="35"/>
      <c r="T146" s="40">
        <f t="shared" si="10"/>
        <v>0</v>
      </c>
    </row>
    <row r="147" spans="1:20" s="3" customFormat="1" ht="25.4" hidden="1" customHeight="1">
      <c r="A147" s="3" t="s">
        <v>978</v>
      </c>
      <c r="B147" s="3" t="s">
        <v>999</v>
      </c>
      <c r="D147" s="26" t="s">
        <v>979</v>
      </c>
      <c r="E147" s="63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3">
        <f t="shared" si="11"/>
        <v>0</v>
      </c>
      <c r="R147" s="39">
        <f>Q147/Summary!$Q$16</f>
        <v>0</v>
      </c>
      <c r="S147" s="35"/>
      <c r="T147" s="40">
        <f t="shared" si="10"/>
        <v>0</v>
      </c>
    </row>
    <row r="148" spans="1:20" s="3" customFormat="1" ht="25.4" hidden="1" customHeight="1">
      <c r="A148" s="3" t="s">
        <v>980</v>
      </c>
      <c r="B148" s="3" t="s">
        <v>999</v>
      </c>
      <c r="D148" s="26" t="s">
        <v>981</v>
      </c>
      <c r="E148" s="63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3">
        <f t="shared" si="11"/>
        <v>0</v>
      </c>
      <c r="R148" s="39">
        <f>Q148/Summary!$Q$16</f>
        <v>0</v>
      </c>
      <c r="S148" s="35"/>
      <c r="T148" s="40">
        <f t="shared" si="10"/>
        <v>0</v>
      </c>
    </row>
    <row r="149" spans="1:20" s="3" customFormat="1" ht="25.4" hidden="1" customHeight="1">
      <c r="A149" s="3" t="s">
        <v>982</v>
      </c>
      <c r="B149" s="3" t="s">
        <v>999</v>
      </c>
      <c r="D149" s="26" t="s">
        <v>983</v>
      </c>
      <c r="E149" s="63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3">
        <f t="shared" si="11"/>
        <v>0</v>
      </c>
      <c r="R149" s="39">
        <f>Q149/Summary!$Q$16</f>
        <v>0</v>
      </c>
      <c r="S149" s="35"/>
      <c r="T149" s="40">
        <f t="shared" si="10"/>
        <v>0</v>
      </c>
    </row>
    <row r="150" spans="1:20" s="3" customFormat="1" ht="25.4" hidden="1" customHeight="1">
      <c r="A150" s="3" t="s">
        <v>984</v>
      </c>
      <c r="B150" s="3" t="s">
        <v>999</v>
      </c>
      <c r="D150" s="26" t="s">
        <v>985</v>
      </c>
      <c r="E150" s="63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3">
        <f t="shared" si="11"/>
        <v>0</v>
      </c>
      <c r="R150" s="39">
        <f>Q150/Summary!$Q$16</f>
        <v>0</v>
      </c>
      <c r="S150" s="35"/>
      <c r="T150" s="40">
        <f t="shared" si="10"/>
        <v>0</v>
      </c>
    </row>
    <row r="151" spans="1:20" s="3" customFormat="1" ht="25.4" hidden="1" customHeight="1">
      <c r="A151" s="3" t="s">
        <v>986</v>
      </c>
      <c r="B151" s="3" t="s">
        <v>999</v>
      </c>
      <c r="D151" s="26" t="s">
        <v>987</v>
      </c>
      <c r="E151" s="63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3">
        <f t="shared" si="11"/>
        <v>0</v>
      </c>
      <c r="R151" s="39">
        <f>Q151/Summary!$Q$16</f>
        <v>0</v>
      </c>
      <c r="S151" s="35"/>
      <c r="T151" s="40">
        <f t="shared" si="10"/>
        <v>0</v>
      </c>
    </row>
    <row r="152" spans="1:20" s="3" customFormat="1" ht="25.4" hidden="1" customHeight="1">
      <c r="A152" s="3" t="s">
        <v>988</v>
      </c>
      <c r="B152" s="3" t="s">
        <v>999</v>
      </c>
      <c r="D152" s="26" t="s">
        <v>989</v>
      </c>
      <c r="E152" s="63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3">
        <f t="shared" si="11"/>
        <v>0</v>
      </c>
      <c r="R152" s="39">
        <f>Q152/Summary!$Q$16</f>
        <v>0</v>
      </c>
      <c r="S152" s="35"/>
      <c r="T152" s="40">
        <f t="shared" si="10"/>
        <v>0</v>
      </c>
    </row>
    <row r="153" spans="1:20" s="3" customFormat="1" ht="25.4" hidden="1" customHeight="1">
      <c r="A153" s="3" t="s">
        <v>990</v>
      </c>
      <c r="B153" s="3" t="s">
        <v>999</v>
      </c>
      <c r="D153" s="26" t="s">
        <v>991</v>
      </c>
      <c r="E153" s="63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3">
        <f t="shared" si="11"/>
        <v>0</v>
      </c>
      <c r="R153" s="39">
        <f>Q153/Summary!$Q$16</f>
        <v>0</v>
      </c>
      <c r="S153" s="35"/>
      <c r="T153" s="40">
        <f t="shared" ref="T153:T159" si="12">-IF(Q153-S153=0,0,(Q153-S153)/S153)</f>
        <v>0</v>
      </c>
    </row>
    <row r="154" spans="1:20" s="3" customFormat="1" ht="25.4" hidden="1" customHeight="1">
      <c r="A154" s="3" t="s">
        <v>992</v>
      </c>
      <c r="B154" s="3" t="s">
        <v>999</v>
      </c>
      <c r="D154" s="26" t="s">
        <v>993</v>
      </c>
      <c r="E154" s="63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3">
        <f t="shared" si="11"/>
        <v>0</v>
      </c>
      <c r="R154" s="39">
        <f>Q154/Summary!$Q$16</f>
        <v>0</v>
      </c>
      <c r="S154" s="35"/>
      <c r="T154" s="40">
        <f t="shared" si="12"/>
        <v>0</v>
      </c>
    </row>
    <row r="155" spans="1:20" s="3" customFormat="1" ht="25.4" hidden="1" customHeight="1">
      <c r="A155" s="3" t="s">
        <v>994</v>
      </c>
      <c r="B155" s="3" t="s">
        <v>999</v>
      </c>
      <c r="D155" s="26" t="s">
        <v>995</v>
      </c>
      <c r="E155" s="63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3">
        <f t="shared" si="11"/>
        <v>0</v>
      </c>
      <c r="R155" s="39">
        <f>Q155/Summary!$Q$16</f>
        <v>0</v>
      </c>
      <c r="S155" s="35"/>
      <c r="T155" s="40">
        <f t="shared" si="12"/>
        <v>0</v>
      </c>
    </row>
    <row r="156" spans="1:20" s="3" customFormat="1" ht="25.4" customHeight="1">
      <c r="A156" s="3" t="s">
        <v>996</v>
      </c>
      <c r="B156" s="3" t="s">
        <v>999</v>
      </c>
      <c r="D156" s="26" t="s">
        <v>997</v>
      </c>
      <c r="E156" s="63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3">
        <f t="shared" si="11"/>
        <v>0</v>
      </c>
      <c r="R156" s="39">
        <f>Q156/Summary!$Q$16</f>
        <v>0</v>
      </c>
      <c r="S156" s="35"/>
      <c r="T156" s="40">
        <f t="shared" si="12"/>
        <v>0</v>
      </c>
    </row>
    <row r="157" spans="1:20" s="3" customFormat="1" ht="25.4" customHeight="1">
      <c r="A157" s="3" t="s">
        <v>595</v>
      </c>
      <c r="B157" s="3" t="s">
        <v>999</v>
      </c>
      <c r="D157" s="26" t="s">
        <v>596</v>
      </c>
      <c r="E157" s="63">
        <v>200</v>
      </c>
      <c r="F157" s="63">
        <v>200</v>
      </c>
      <c r="G157" s="63">
        <v>200</v>
      </c>
      <c r="H157" s="63">
        <v>200</v>
      </c>
      <c r="I157" s="63">
        <v>200</v>
      </c>
      <c r="J157" s="63">
        <v>200</v>
      </c>
      <c r="K157" s="63">
        <v>200</v>
      </c>
      <c r="L157" s="63">
        <v>200</v>
      </c>
      <c r="M157" s="63">
        <v>200</v>
      </c>
      <c r="N157" s="63">
        <v>200</v>
      </c>
      <c r="O157" s="63">
        <v>200</v>
      </c>
      <c r="P157" s="63">
        <v>200</v>
      </c>
      <c r="Q157" s="3">
        <f t="shared" si="11"/>
        <v>2400</v>
      </c>
      <c r="R157" s="39">
        <f>Q157/Summary!$Q$16</f>
        <v>3.0131737160133587E-5</v>
      </c>
      <c r="S157" s="35"/>
      <c r="T157" s="40" t="e">
        <f t="shared" si="12"/>
        <v>#DIV/0!</v>
      </c>
    </row>
    <row r="158" spans="1:20" s="19" customFormat="1" ht="25.4" customHeight="1">
      <c r="D158" s="21" t="s">
        <v>597</v>
      </c>
      <c r="E158" s="45">
        <f>SUM(E15:E157)</f>
        <v>10074.833333333334</v>
      </c>
      <c r="F158" s="45">
        <f t="shared" ref="F158:Q158" si="13">SUM(F15:F157)</f>
        <v>9898.4833333333336</v>
      </c>
      <c r="G158" s="45">
        <f t="shared" si="13"/>
        <v>9865.3833333333332</v>
      </c>
      <c r="H158" s="45">
        <f t="shared" si="13"/>
        <v>9897.1333333333332</v>
      </c>
      <c r="I158" s="45">
        <f t="shared" si="13"/>
        <v>9877.5833333333339</v>
      </c>
      <c r="J158" s="45">
        <f t="shared" si="13"/>
        <v>9777.7333333333336</v>
      </c>
      <c r="K158" s="45">
        <f t="shared" si="13"/>
        <v>9744.9833333333336</v>
      </c>
      <c r="L158" s="45">
        <f t="shared" si="13"/>
        <v>9748.9833333333336</v>
      </c>
      <c r="M158" s="45">
        <f t="shared" si="13"/>
        <v>9772.2833333333328</v>
      </c>
      <c r="N158" s="45">
        <f t="shared" si="13"/>
        <v>9866.9833333333336</v>
      </c>
      <c r="O158" s="45">
        <f t="shared" si="13"/>
        <v>9736.8833333333332</v>
      </c>
      <c r="P158" s="45">
        <f t="shared" si="13"/>
        <v>9725.3333333333339</v>
      </c>
      <c r="Q158" s="45">
        <f t="shared" si="13"/>
        <v>117986.6</v>
      </c>
      <c r="R158" s="39">
        <f>Q158/Summary!$Q$16</f>
        <v>1.481308841507424E-3</v>
      </c>
      <c r="S158" s="35"/>
      <c r="T158" s="40" t="e">
        <f t="shared" si="12"/>
        <v>#DIV/0!</v>
      </c>
    </row>
    <row r="159" spans="1:20" s="19" customFormat="1" ht="25.4" customHeight="1">
      <c r="D159" s="21" t="s">
        <v>598</v>
      </c>
      <c r="E159" s="45">
        <f>+E12+E158</f>
        <v>215768.46333333335</v>
      </c>
      <c r="F159" s="45">
        <f t="shared" ref="F159:P159" si="14">+F12+F158</f>
        <v>215598.31333333335</v>
      </c>
      <c r="G159" s="45">
        <f t="shared" si="14"/>
        <v>215390.61333333334</v>
      </c>
      <c r="H159" s="45">
        <f t="shared" si="14"/>
        <v>215438.56333333332</v>
      </c>
      <c r="I159" s="45">
        <f t="shared" si="14"/>
        <v>215268.21333333335</v>
      </c>
      <c r="J159" s="45">
        <f t="shared" si="14"/>
        <v>215054.91333333336</v>
      </c>
      <c r="K159" s="45">
        <f t="shared" si="14"/>
        <v>214951.26333333334</v>
      </c>
      <c r="L159" s="45">
        <f t="shared" si="14"/>
        <v>214964.21333333335</v>
      </c>
      <c r="M159" s="45">
        <f t="shared" si="14"/>
        <v>214995.36333333334</v>
      </c>
      <c r="N159" s="45">
        <f t="shared" si="14"/>
        <v>215114.71333333335</v>
      </c>
      <c r="O159" s="45">
        <f t="shared" si="14"/>
        <v>214918.06333333335</v>
      </c>
      <c r="P159" s="45">
        <f t="shared" si="14"/>
        <v>214884.86333333334</v>
      </c>
      <c r="Q159" s="45">
        <f t="shared" ref="Q159" si="15">+Q12+Q158</f>
        <v>2582347.56</v>
      </c>
      <c r="R159" s="39">
        <f>Q159/Summary!$Q$16</f>
        <v>3.2421090805846792E-2</v>
      </c>
      <c r="S159" s="35"/>
      <c r="T159" s="40" t="e">
        <f t="shared" si="12"/>
        <v>#DIV/0!</v>
      </c>
    </row>
    <row r="160" spans="1:20" s="3" customFormat="1" ht="25.4" hidden="1" customHeight="1">
      <c r="A160" s="77" t="s">
        <v>599</v>
      </c>
      <c r="B160" s="3" t="s">
        <v>999</v>
      </c>
      <c r="D160" s="42" t="s">
        <v>353</v>
      </c>
      <c r="E160" s="27">
        <f>+E159</f>
        <v>215768.46333333335</v>
      </c>
      <c r="F160" s="27">
        <f t="shared" ref="F160:Q160" si="16">+F159</f>
        <v>215598.31333333335</v>
      </c>
      <c r="G160" s="27">
        <f t="shared" si="16"/>
        <v>215390.61333333334</v>
      </c>
      <c r="H160" s="27">
        <f t="shared" si="16"/>
        <v>215438.56333333332</v>
      </c>
      <c r="I160" s="27">
        <f t="shared" si="16"/>
        <v>215268.21333333335</v>
      </c>
      <c r="J160" s="27">
        <f t="shared" si="16"/>
        <v>215054.91333333336</v>
      </c>
      <c r="K160" s="27">
        <f t="shared" si="16"/>
        <v>214951.26333333334</v>
      </c>
      <c r="L160" s="27">
        <f t="shared" si="16"/>
        <v>214964.21333333335</v>
      </c>
      <c r="M160" s="27">
        <f t="shared" si="16"/>
        <v>214995.36333333334</v>
      </c>
      <c r="N160" s="27">
        <f t="shared" si="16"/>
        <v>215114.71333333335</v>
      </c>
      <c r="O160" s="27">
        <f t="shared" si="16"/>
        <v>214918.06333333335</v>
      </c>
      <c r="P160" s="27">
        <f t="shared" si="16"/>
        <v>214884.86333333334</v>
      </c>
      <c r="Q160" s="3">
        <f t="shared" si="16"/>
        <v>2582347.56</v>
      </c>
      <c r="S160" s="35"/>
      <c r="T160" s="40" t="e">
        <f>IF(Q160-S160=0,0,(Q160-S160)/S160)</f>
        <v>#DIV/0!</v>
      </c>
    </row>
    <row r="161" spans="1:20" s="3" customFormat="1" ht="25.4" customHeight="1">
      <c r="D161" s="42"/>
      <c r="E161" s="68"/>
      <c r="F161" s="68"/>
      <c r="G161" s="68"/>
      <c r="H161" s="68"/>
      <c r="I161" s="68"/>
      <c r="S161" s="35"/>
      <c r="T161" s="40"/>
    </row>
    <row r="162" spans="1:20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S162" s="35"/>
      <c r="T162" s="40"/>
    </row>
    <row r="163" spans="1:20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S163" s="35"/>
      <c r="T163" s="40"/>
    </row>
    <row r="164" spans="1:20" s="3" customFormat="1" ht="25.4" customHeight="1">
      <c r="A164" s="253" t="s">
        <v>297</v>
      </c>
      <c r="B164" s="3" t="s">
        <v>999</v>
      </c>
      <c r="D164" s="26" t="s">
        <v>299</v>
      </c>
      <c r="E164" s="63">
        <v>142120</v>
      </c>
      <c r="F164" s="63">
        <v>142120</v>
      </c>
      <c r="G164" s="63">
        <v>142120</v>
      </c>
      <c r="H164" s="63">
        <v>142120</v>
      </c>
      <c r="I164" s="63">
        <v>142120</v>
      </c>
      <c r="J164" s="63">
        <v>142120</v>
      </c>
      <c r="K164" s="63">
        <v>142120</v>
      </c>
      <c r="L164" s="63">
        <v>142120</v>
      </c>
      <c r="M164" s="63">
        <v>142120</v>
      </c>
      <c r="N164" s="63">
        <v>142120</v>
      </c>
      <c r="O164" s="63">
        <v>142120</v>
      </c>
      <c r="P164" s="63">
        <v>142120</v>
      </c>
      <c r="Q164" s="3">
        <f>SUM(E164:P164)</f>
        <v>1705440</v>
      </c>
      <c r="R164" s="39">
        <f>Q164/Summary!$Q$16</f>
        <v>2.1411612425990927E-2</v>
      </c>
      <c r="S164" s="35"/>
      <c r="T164" s="40" t="e">
        <f>-IF(Q164-S164=0,0,(Q164-S164)/S164)</f>
        <v>#DIV/0!</v>
      </c>
    </row>
    <row r="165" spans="1:20" s="3" customFormat="1" ht="25.4" customHeight="1">
      <c r="A165" s="50" t="s">
        <v>300</v>
      </c>
      <c r="B165" s="3" t="s">
        <v>999</v>
      </c>
      <c r="D165" s="26" t="s">
        <v>434</v>
      </c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3">
        <f>SUM(E165:P165)</f>
        <v>0</v>
      </c>
      <c r="R165" s="39">
        <f>Q165/Summary!$Q$16</f>
        <v>0</v>
      </c>
      <c r="S165" s="35"/>
      <c r="T165" s="40"/>
    </row>
    <row r="166" spans="1:20" s="3" customFormat="1" ht="25.4" customHeight="1">
      <c r="B166" s="51"/>
      <c r="D166" s="21" t="s">
        <v>437</v>
      </c>
      <c r="E166" s="52">
        <f>SUM(E164:E165)</f>
        <v>142120</v>
      </c>
      <c r="F166" s="52">
        <f t="shared" ref="F166:P166" si="17">SUM(F164:F165)</f>
        <v>142120</v>
      </c>
      <c r="G166" s="52">
        <f t="shared" si="17"/>
        <v>142120</v>
      </c>
      <c r="H166" s="52">
        <f t="shared" si="17"/>
        <v>142120</v>
      </c>
      <c r="I166" s="52">
        <f t="shared" si="17"/>
        <v>142120</v>
      </c>
      <c r="J166" s="52">
        <f t="shared" si="17"/>
        <v>142120</v>
      </c>
      <c r="K166" s="52">
        <f t="shared" si="17"/>
        <v>142120</v>
      </c>
      <c r="L166" s="52">
        <f t="shared" si="17"/>
        <v>142120</v>
      </c>
      <c r="M166" s="52">
        <f t="shared" si="17"/>
        <v>142120</v>
      </c>
      <c r="N166" s="52">
        <f t="shared" si="17"/>
        <v>142120</v>
      </c>
      <c r="O166" s="52">
        <f t="shared" si="17"/>
        <v>142120</v>
      </c>
      <c r="P166" s="52">
        <f t="shared" si="17"/>
        <v>142120</v>
      </c>
      <c r="Q166" s="52">
        <f t="shared" ref="Q166" si="18">SUM(Q164:Q165)</f>
        <v>1705440</v>
      </c>
      <c r="R166" s="39">
        <f>Q166/Summary!$Q$16</f>
        <v>2.1411612425990927E-2</v>
      </c>
      <c r="S166" s="35"/>
      <c r="T166" s="40" t="e">
        <f t="shared" ref="T166:T175" si="19">-IF(Q166-S166=0,0,(Q166-S166)/S166)</f>
        <v>#DIV/0!</v>
      </c>
    </row>
    <row r="167" spans="1:20" s="3" customFormat="1" ht="25.4" customHeight="1">
      <c r="B167" s="51"/>
      <c r="E167" s="53"/>
      <c r="F167" s="53"/>
      <c r="G167" s="53"/>
      <c r="H167" s="53"/>
      <c r="I167" s="53"/>
      <c r="S167" s="35"/>
      <c r="T167" s="40">
        <f t="shared" si="19"/>
        <v>0</v>
      </c>
    </row>
    <row r="168" spans="1:20" s="3" customFormat="1" ht="25.4" customHeight="1">
      <c r="A168" s="254" t="s">
        <v>603</v>
      </c>
      <c r="B168" s="3" t="s">
        <v>999</v>
      </c>
      <c r="D168" s="26" t="s">
        <v>309</v>
      </c>
      <c r="E168" s="62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3">
        <f>SUM(E168:P168)</f>
        <v>0</v>
      </c>
      <c r="R168" s="39">
        <f>Q168/Summary!$Q$16</f>
        <v>0</v>
      </c>
      <c r="S168" s="35"/>
      <c r="T168" s="40">
        <f t="shared" si="19"/>
        <v>0</v>
      </c>
    </row>
    <row r="169" spans="1:20" s="3" customFormat="1" ht="25.4" customHeight="1">
      <c r="A169" s="54" t="s">
        <v>310</v>
      </c>
      <c r="B169" s="3" t="s">
        <v>999</v>
      </c>
      <c r="D169" s="26" t="s">
        <v>311</v>
      </c>
      <c r="E169" s="63">
        <v>1776.5</v>
      </c>
      <c r="F169" s="63">
        <v>1776.5</v>
      </c>
      <c r="G169" s="63">
        <v>1776.5</v>
      </c>
      <c r="H169" s="63">
        <v>1776.5</v>
      </c>
      <c r="I169" s="63">
        <v>1776.5</v>
      </c>
      <c r="J169" s="63">
        <v>1776.5</v>
      </c>
      <c r="K169" s="63">
        <v>1776.5</v>
      </c>
      <c r="L169" s="63">
        <v>1776.5</v>
      </c>
      <c r="M169" s="63">
        <v>1776.5</v>
      </c>
      <c r="N169" s="63">
        <v>1776.5</v>
      </c>
      <c r="O169" s="63">
        <v>1776.5</v>
      </c>
      <c r="P169" s="63">
        <v>1776.5</v>
      </c>
      <c r="Q169" s="3">
        <f t="shared" ref="Q169:Q174" si="20">SUM(E169:P169)</f>
        <v>21318</v>
      </c>
      <c r="R169" s="39">
        <f>Q169/Summary!$Q$16</f>
        <v>2.6764515532488658E-4</v>
      </c>
      <c r="S169" s="35"/>
      <c r="T169" s="40" t="e">
        <f t="shared" si="19"/>
        <v>#DIV/0!</v>
      </c>
    </row>
    <row r="170" spans="1:20" s="3" customFormat="1" ht="25.4" customHeight="1">
      <c r="A170" s="254" t="s">
        <v>604</v>
      </c>
      <c r="B170" s="3" t="s">
        <v>999</v>
      </c>
      <c r="D170" s="26" t="s">
        <v>313</v>
      </c>
      <c r="E170" s="63">
        <v>10600</v>
      </c>
      <c r="F170" s="63">
        <v>10600</v>
      </c>
      <c r="G170" s="63">
        <v>10600</v>
      </c>
      <c r="H170" s="63">
        <v>10600</v>
      </c>
      <c r="I170" s="63">
        <v>10600</v>
      </c>
      <c r="J170" s="63">
        <v>10600</v>
      </c>
      <c r="K170" s="63">
        <v>10600</v>
      </c>
      <c r="L170" s="63">
        <v>10600</v>
      </c>
      <c r="M170" s="63">
        <v>10600</v>
      </c>
      <c r="N170" s="63">
        <v>10600</v>
      </c>
      <c r="O170" s="63">
        <v>10600</v>
      </c>
      <c r="P170" s="63">
        <v>10600</v>
      </c>
      <c r="Q170" s="3">
        <f t="shared" si="20"/>
        <v>127200</v>
      </c>
      <c r="R170" s="39">
        <f>Q170/Summary!$Q$16</f>
        <v>1.59698206948708E-3</v>
      </c>
      <c r="S170" s="35"/>
      <c r="T170" s="40" t="e">
        <f t="shared" si="19"/>
        <v>#DIV/0!</v>
      </c>
    </row>
    <row r="171" spans="1:20" s="3" customFormat="1" ht="25.4" customHeight="1">
      <c r="A171" s="254" t="s">
        <v>605</v>
      </c>
      <c r="B171" s="3" t="s">
        <v>999</v>
      </c>
      <c r="D171" s="26" t="s">
        <v>315</v>
      </c>
      <c r="E171" s="63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3">
        <f t="shared" ref="Q171:Q172" si="21">SUM(E171:P171)</f>
        <v>0</v>
      </c>
      <c r="R171" s="39">
        <f>Q171/Summary!$Q$16</f>
        <v>0</v>
      </c>
      <c r="S171" s="35"/>
      <c r="T171" s="40">
        <f t="shared" ref="T171:T172" si="22">-IF(Q171-S171=0,0,(Q171-S171)/S171)</f>
        <v>0</v>
      </c>
    </row>
    <row r="172" spans="1:20" s="3" customFormat="1" ht="25.4" customHeight="1">
      <c r="A172" s="254" t="s">
        <v>606</v>
      </c>
      <c r="B172" s="3" t="s">
        <v>999</v>
      </c>
      <c r="D172" s="26" t="s">
        <v>317</v>
      </c>
      <c r="E172" s="63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3">
        <f t="shared" si="21"/>
        <v>0</v>
      </c>
      <c r="R172" s="39">
        <f>Q172/Summary!$Q$16</f>
        <v>0</v>
      </c>
      <c r="S172" s="35"/>
      <c r="T172" s="40">
        <f t="shared" si="22"/>
        <v>0</v>
      </c>
    </row>
    <row r="173" spans="1:20" s="3" customFormat="1" ht="25.4" customHeight="1">
      <c r="A173" s="254" t="s">
        <v>1066</v>
      </c>
      <c r="B173" s="3" t="s">
        <v>999</v>
      </c>
      <c r="D173" s="26" t="s">
        <v>1137</v>
      </c>
      <c r="E173" s="63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3">
        <f t="shared" si="20"/>
        <v>0</v>
      </c>
      <c r="R173" s="39">
        <f>Q173/Summary!$Q$16</f>
        <v>0</v>
      </c>
      <c r="S173" s="35"/>
      <c r="T173" s="40">
        <f t="shared" si="19"/>
        <v>0</v>
      </c>
    </row>
    <row r="174" spans="1:20" s="3" customFormat="1" ht="25.4" customHeight="1">
      <c r="A174" s="254" t="s">
        <v>1066</v>
      </c>
      <c r="B174" s="3" t="s">
        <v>999</v>
      </c>
      <c r="D174" s="26" t="s">
        <v>1070</v>
      </c>
      <c r="E174" s="63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3">
        <f t="shared" si="20"/>
        <v>0</v>
      </c>
      <c r="R174" s="39">
        <f>Q174/Summary!$Q$16</f>
        <v>0</v>
      </c>
      <c r="S174" s="35"/>
      <c r="T174" s="40">
        <f t="shared" si="19"/>
        <v>0</v>
      </c>
    </row>
    <row r="175" spans="1:20" s="19" customFormat="1" ht="25.4" customHeight="1">
      <c r="A175" s="54"/>
      <c r="B175" s="51"/>
      <c r="D175" s="19" t="s">
        <v>318</v>
      </c>
      <c r="E175" s="52">
        <f>SUM(E168:E174)</f>
        <v>12376.5</v>
      </c>
      <c r="F175" s="52">
        <f t="shared" ref="F175:P175" si="23">SUM(F168:F174)</f>
        <v>12376.5</v>
      </c>
      <c r="G175" s="52">
        <f t="shared" si="23"/>
        <v>12376.5</v>
      </c>
      <c r="H175" s="52">
        <f t="shared" si="23"/>
        <v>12376.5</v>
      </c>
      <c r="I175" s="52">
        <f t="shared" si="23"/>
        <v>12376.5</v>
      </c>
      <c r="J175" s="52">
        <f t="shared" si="23"/>
        <v>12376.5</v>
      </c>
      <c r="K175" s="52">
        <f t="shared" si="23"/>
        <v>12376.5</v>
      </c>
      <c r="L175" s="52">
        <f t="shared" si="23"/>
        <v>12376.5</v>
      </c>
      <c r="M175" s="52">
        <f t="shared" si="23"/>
        <v>12376.5</v>
      </c>
      <c r="N175" s="52">
        <f t="shared" si="23"/>
        <v>12376.5</v>
      </c>
      <c r="O175" s="52">
        <f t="shared" si="23"/>
        <v>12376.5</v>
      </c>
      <c r="P175" s="52">
        <f t="shared" si="23"/>
        <v>12376.5</v>
      </c>
      <c r="Q175" s="52">
        <f t="shared" ref="Q175" si="24">SUM(Q168:Q174)</f>
        <v>148518</v>
      </c>
      <c r="R175" s="39">
        <f>Q175/Summary!$Q$16</f>
        <v>1.8646272248119666E-3</v>
      </c>
      <c r="S175" s="35"/>
      <c r="T175" s="40" t="e">
        <f t="shared" si="19"/>
        <v>#DIV/0!</v>
      </c>
    </row>
    <row r="176" spans="1:20" s="3" customFormat="1" ht="25.4" customHeight="1">
      <c r="A176" s="50"/>
      <c r="D176" s="19"/>
      <c r="E176" s="53"/>
      <c r="F176" s="53"/>
      <c r="G176" s="53"/>
      <c r="H176" s="53"/>
      <c r="I176" s="53"/>
      <c r="S176" s="35"/>
      <c r="T176" s="40"/>
    </row>
    <row r="177" spans="1:20" s="3" customFormat="1" ht="25.4" customHeight="1">
      <c r="A177" s="254" t="s">
        <v>609</v>
      </c>
      <c r="B177" s="3" t="s">
        <v>999</v>
      </c>
      <c r="D177" s="26" t="s">
        <v>320</v>
      </c>
      <c r="E177" s="63">
        <v>14289.45</v>
      </c>
      <c r="F177" s="63">
        <v>14289.449999999999</v>
      </c>
      <c r="G177" s="63">
        <v>14289.449999999999</v>
      </c>
      <c r="H177" s="63">
        <v>14289.449999999999</v>
      </c>
      <c r="I177" s="63">
        <v>14289.449999999999</v>
      </c>
      <c r="J177" s="63">
        <v>14289.449999999999</v>
      </c>
      <c r="K177" s="63">
        <v>14289.449999999999</v>
      </c>
      <c r="L177" s="63">
        <v>14289.449999999999</v>
      </c>
      <c r="M177" s="63">
        <v>14289.449999999999</v>
      </c>
      <c r="N177" s="63">
        <v>14289.449999999999</v>
      </c>
      <c r="O177" s="63">
        <v>14289.449999999999</v>
      </c>
      <c r="P177" s="63">
        <v>14289.449999999999</v>
      </c>
      <c r="Q177" s="3">
        <f>SUM(E177:P177)</f>
        <v>171473.40000000002</v>
      </c>
      <c r="R177" s="39">
        <f>Q177/Summary!$Q$16</f>
        <v>2.1528297578143544E-3</v>
      </c>
      <c r="S177" s="35"/>
      <c r="T177" s="40" t="e">
        <f t="shared" ref="T177:T185" si="25">-IF(Q177-S177=0,0,(Q177-S177)/S177)</f>
        <v>#DIV/0!</v>
      </c>
    </row>
    <row r="178" spans="1:20" s="3" customFormat="1" ht="25.4" customHeight="1">
      <c r="A178" s="254" t="s">
        <v>610</v>
      </c>
      <c r="B178" s="3" t="s">
        <v>999</v>
      </c>
      <c r="D178" s="26" t="s">
        <v>322</v>
      </c>
      <c r="E178" s="63">
        <v>4522.38</v>
      </c>
      <c r="F178" s="63">
        <v>4522.38</v>
      </c>
      <c r="G178" s="63">
        <v>4522.38</v>
      </c>
      <c r="H178" s="63">
        <v>4522.38</v>
      </c>
      <c r="I178" s="63">
        <v>4522.38</v>
      </c>
      <c r="J178" s="63">
        <v>4522.38</v>
      </c>
      <c r="K178" s="63">
        <v>4522.38</v>
      </c>
      <c r="L178" s="63">
        <v>4522.38</v>
      </c>
      <c r="M178" s="63">
        <v>4522.38</v>
      </c>
      <c r="N178" s="63">
        <v>4522.38</v>
      </c>
      <c r="O178" s="63">
        <v>4522.38</v>
      </c>
      <c r="P178" s="63">
        <v>4522.38</v>
      </c>
      <c r="Q178" s="3">
        <f t="shared" ref="Q178:Q184" si="26">SUM(E178:P178)</f>
        <v>54268.55999999999</v>
      </c>
      <c r="R178" s="39">
        <f>Q178/Summary!$Q$16</f>
        <v>6.8133582749122456E-4</v>
      </c>
      <c r="S178" s="35"/>
      <c r="T178" s="40" t="e">
        <f t="shared" si="25"/>
        <v>#DIV/0!</v>
      </c>
    </row>
    <row r="179" spans="1:20" s="3" customFormat="1" ht="25.4" customHeight="1">
      <c r="A179" s="254" t="s">
        <v>611</v>
      </c>
      <c r="B179" s="3" t="s">
        <v>999</v>
      </c>
      <c r="D179" s="26" t="s">
        <v>324</v>
      </c>
      <c r="E179" s="63">
        <v>856.52</v>
      </c>
      <c r="F179" s="63">
        <v>856.52</v>
      </c>
      <c r="G179" s="63">
        <v>856.52</v>
      </c>
      <c r="H179" s="63">
        <v>856.52</v>
      </c>
      <c r="I179" s="63">
        <v>856.52</v>
      </c>
      <c r="J179" s="63">
        <v>856.52</v>
      </c>
      <c r="K179" s="63">
        <v>856.52</v>
      </c>
      <c r="L179" s="63">
        <v>856.52</v>
      </c>
      <c r="M179" s="63">
        <v>856.52</v>
      </c>
      <c r="N179" s="63">
        <v>856.52</v>
      </c>
      <c r="O179" s="63">
        <v>856.52</v>
      </c>
      <c r="P179" s="63">
        <v>856.52</v>
      </c>
      <c r="Q179" s="3">
        <f t="shared" si="26"/>
        <v>10278.240000000003</v>
      </c>
      <c r="R179" s="39">
        <f>Q179/Summary!$Q$16</f>
        <v>1.2904217756198815E-4</v>
      </c>
      <c r="S179" s="35"/>
      <c r="T179" s="40" t="e">
        <f t="shared" si="25"/>
        <v>#DIV/0!</v>
      </c>
    </row>
    <row r="180" spans="1:20" s="3" customFormat="1" ht="25.4" customHeight="1">
      <c r="A180" s="254" t="s">
        <v>612</v>
      </c>
      <c r="B180" s="3" t="s">
        <v>999</v>
      </c>
      <c r="D180" s="26" t="s">
        <v>326</v>
      </c>
      <c r="E180" s="63">
        <v>568.48</v>
      </c>
      <c r="F180" s="63">
        <v>568.48</v>
      </c>
      <c r="G180" s="63">
        <v>568.48</v>
      </c>
      <c r="H180" s="63">
        <v>568.48</v>
      </c>
      <c r="I180" s="63">
        <v>568.48</v>
      </c>
      <c r="J180" s="63">
        <v>568.48</v>
      </c>
      <c r="K180" s="63">
        <v>568.48</v>
      </c>
      <c r="L180" s="63">
        <v>568.48</v>
      </c>
      <c r="M180" s="63">
        <v>568.48</v>
      </c>
      <c r="N180" s="63">
        <v>568.48</v>
      </c>
      <c r="O180" s="63">
        <v>568.48</v>
      </c>
      <c r="P180" s="63">
        <v>568.48</v>
      </c>
      <c r="Q180" s="3">
        <f t="shared" si="26"/>
        <v>6821.7599999999984</v>
      </c>
      <c r="R180" s="39">
        <f>Q180/Summary!$Q$16</f>
        <v>8.5646449703963683E-5</v>
      </c>
      <c r="S180" s="35"/>
      <c r="T180" s="40" t="e">
        <f t="shared" si="25"/>
        <v>#DIV/0!</v>
      </c>
    </row>
    <row r="181" spans="1:20" s="3" customFormat="1" ht="25.4" customHeight="1">
      <c r="A181" s="254" t="s">
        <v>613</v>
      </c>
      <c r="B181" s="3" t="s">
        <v>999</v>
      </c>
      <c r="D181" s="26" t="s">
        <v>328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3">
        <f t="shared" si="26"/>
        <v>0</v>
      </c>
      <c r="R181" s="39">
        <f>Q181/Summary!$Q$16</f>
        <v>0</v>
      </c>
      <c r="S181" s="35"/>
      <c r="T181" s="40">
        <f t="shared" si="25"/>
        <v>0</v>
      </c>
    </row>
    <row r="182" spans="1:20" s="3" customFormat="1" ht="25.4" customHeight="1">
      <c r="A182" s="254" t="s">
        <v>614</v>
      </c>
      <c r="B182" s="3" t="s">
        <v>999</v>
      </c>
      <c r="D182" s="26" t="s">
        <v>330</v>
      </c>
      <c r="E182" s="63">
        <v>8874</v>
      </c>
      <c r="F182" s="63">
        <v>8874</v>
      </c>
      <c r="G182" s="63">
        <v>8874</v>
      </c>
      <c r="H182" s="63">
        <v>8874</v>
      </c>
      <c r="I182" s="63">
        <v>8874</v>
      </c>
      <c r="J182" s="63">
        <v>8874</v>
      </c>
      <c r="K182" s="63">
        <v>8874</v>
      </c>
      <c r="L182" s="63">
        <v>8874</v>
      </c>
      <c r="M182" s="63">
        <v>8874</v>
      </c>
      <c r="N182" s="63">
        <v>8874</v>
      </c>
      <c r="O182" s="63">
        <v>8874</v>
      </c>
      <c r="P182" s="63">
        <v>8874</v>
      </c>
      <c r="Q182" s="3">
        <f t="shared" si="26"/>
        <v>106488</v>
      </c>
      <c r="R182" s="39">
        <f>Q182/Summary!$Q$16</f>
        <v>1.3369451777951271E-3</v>
      </c>
      <c r="S182" s="35"/>
      <c r="T182" s="40" t="e">
        <f t="shared" si="25"/>
        <v>#DIV/0!</v>
      </c>
    </row>
    <row r="183" spans="1:20" s="3" customFormat="1" ht="25.4" customHeight="1">
      <c r="A183" s="254" t="s">
        <v>615</v>
      </c>
      <c r="B183" s="3" t="s">
        <v>999</v>
      </c>
      <c r="D183" s="26" t="s">
        <v>332</v>
      </c>
      <c r="E183" s="63">
        <v>2842.4</v>
      </c>
      <c r="F183" s="63">
        <v>2842.4</v>
      </c>
      <c r="G183" s="63">
        <v>2842.4</v>
      </c>
      <c r="H183" s="63">
        <v>2842.4</v>
      </c>
      <c r="I183" s="63">
        <v>2842.4</v>
      </c>
      <c r="J183" s="63">
        <v>2842.4</v>
      </c>
      <c r="K183" s="63">
        <v>2842.4</v>
      </c>
      <c r="L183" s="63">
        <v>2842.4</v>
      </c>
      <c r="M183" s="63">
        <v>2842.4</v>
      </c>
      <c r="N183" s="63">
        <v>2842.4</v>
      </c>
      <c r="O183" s="63">
        <v>2842.4</v>
      </c>
      <c r="P183" s="63">
        <v>2842.4</v>
      </c>
      <c r="Q183" s="3">
        <f t="shared" si="26"/>
        <v>34108.80000000001</v>
      </c>
      <c r="R183" s="39">
        <f>Q183/Summary!$Q$16</f>
        <v>4.2823224851981867E-4</v>
      </c>
      <c r="S183" s="35"/>
      <c r="T183" s="40" t="e">
        <f t="shared" si="25"/>
        <v>#DIV/0!</v>
      </c>
    </row>
    <row r="184" spans="1:20" s="3" customFormat="1" ht="25.4" customHeight="1">
      <c r="A184" s="254" t="s">
        <v>616</v>
      </c>
      <c r="B184" s="3" t="s">
        <v>999</v>
      </c>
      <c r="D184" s="26" t="s">
        <v>334</v>
      </c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3">
        <f t="shared" si="26"/>
        <v>0</v>
      </c>
      <c r="R184" s="39">
        <f>Q184/Summary!$Q$16</f>
        <v>0</v>
      </c>
      <c r="S184" s="35"/>
      <c r="T184" s="40">
        <f t="shared" si="25"/>
        <v>0</v>
      </c>
    </row>
    <row r="185" spans="1:20" s="19" customFormat="1" ht="25.4" customHeight="1">
      <c r="A185" s="54"/>
      <c r="B185" s="51"/>
      <c r="D185" s="19" t="s">
        <v>335</v>
      </c>
      <c r="E185" s="45">
        <f>SUM(E177:E184)</f>
        <v>31953.230000000003</v>
      </c>
      <c r="F185" s="45">
        <f t="shared" ref="F185:P185" si="27">SUM(F177:F184)</f>
        <v>31953.23</v>
      </c>
      <c r="G185" s="45">
        <f t="shared" si="27"/>
        <v>31953.23</v>
      </c>
      <c r="H185" s="45">
        <f t="shared" si="27"/>
        <v>31953.23</v>
      </c>
      <c r="I185" s="45">
        <f t="shared" si="27"/>
        <v>31953.23</v>
      </c>
      <c r="J185" s="45">
        <f t="shared" si="27"/>
        <v>31953.23</v>
      </c>
      <c r="K185" s="45">
        <f t="shared" si="27"/>
        <v>31953.23</v>
      </c>
      <c r="L185" s="45">
        <f t="shared" si="27"/>
        <v>31953.23</v>
      </c>
      <c r="M185" s="45">
        <f t="shared" si="27"/>
        <v>31953.23</v>
      </c>
      <c r="N185" s="45">
        <f t="shared" si="27"/>
        <v>31953.23</v>
      </c>
      <c r="O185" s="45">
        <f t="shared" si="27"/>
        <v>31953.23</v>
      </c>
      <c r="P185" s="45">
        <f t="shared" si="27"/>
        <v>31953.23</v>
      </c>
      <c r="Q185" s="45">
        <f t="shared" ref="Q185" si="28">SUM(Q177:Q184)</f>
        <v>383438.76</v>
      </c>
      <c r="R185" s="39">
        <f>Q185/Summary!$Q$16</f>
        <v>4.8140316388864766E-3</v>
      </c>
      <c r="S185" s="35"/>
      <c r="T185" s="40" t="e">
        <f t="shared" si="25"/>
        <v>#DIV/0!</v>
      </c>
    </row>
    <row r="186" spans="1:20" s="19" customFormat="1" ht="25.4" customHeight="1">
      <c r="A186" s="54"/>
      <c r="B186" s="51"/>
      <c r="D186" s="21"/>
      <c r="E186" s="55"/>
      <c r="F186" s="55"/>
      <c r="G186" s="55"/>
      <c r="H186" s="55"/>
      <c r="I186" s="55"/>
      <c r="S186" s="35"/>
      <c r="T186" s="40"/>
    </row>
    <row r="187" spans="1:20" s="3" customFormat="1" ht="25.4" hidden="1" customHeight="1">
      <c r="A187" s="254" t="s">
        <v>617</v>
      </c>
      <c r="B187" s="3" t="s">
        <v>999</v>
      </c>
      <c r="D187" s="26" t="s">
        <v>337</v>
      </c>
      <c r="E187" s="63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0</v>
      </c>
      <c r="P187" s="27">
        <v>0</v>
      </c>
      <c r="Q187" s="3">
        <f>SUM(E187:P187)</f>
        <v>0</v>
      </c>
      <c r="R187" s="39">
        <f>Q187/Summary!$Q$16</f>
        <v>0</v>
      </c>
      <c r="S187" s="35"/>
      <c r="T187" s="40">
        <f t="shared" ref="T187:T195" si="29">-IF(Q187-S187=0,0,(Q187-S187)/S187)</f>
        <v>0</v>
      </c>
    </row>
    <row r="188" spans="1:20" s="3" customFormat="1" ht="25.4" hidden="1" customHeight="1">
      <c r="A188" s="254" t="s">
        <v>618</v>
      </c>
      <c r="B188" s="3" t="s">
        <v>999</v>
      </c>
      <c r="D188" s="3" t="s">
        <v>339</v>
      </c>
      <c r="E188" s="63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3">
        <f t="shared" ref="Q188:Q193" si="30">SUM(E188:P188)</f>
        <v>0</v>
      </c>
      <c r="R188" s="39">
        <f>Q188/Summary!$Q$16</f>
        <v>0</v>
      </c>
      <c r="S188" s="35"/>
      <c r="T188" s="40">
        <f t="shared" si="29"/>
        <v>0</v>
      </c>
    </row>
    <row r="189" spans="1:20" s="3" customFormat="1" ht="25.4" hidden="1" customHeight="1">
      <c r="A189" s="254" t="s">
        <v>619</v>
      </c>
      <c r="B189" s="3" t="s">
        <v>999</v>
      </c>
      <c r="D189" s="26" t="s">
        <v>341</v>
      </c>
      <c r="E189" s="63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3">
        <f t="shared" si="30"/>
        <v>0</v>
      </c>
      <c r="R189" s="39">
        <f>Q189/Summary!$Q$16</f>
        <v>0</v>
      </c>
      <c r="S189" s="35"/>
      <c r="T189" s="40">
        <f t="shared" si="29"/>
        <v>0</v>
      </c>
    </row>
    <row r="190" spans="1:20" s="3" customFormat="1" ht="25.4" hidden="1" customHeight="1">
      <c r="A190" s="254" t="s">
        <v>620</v>
      </c>
      <c r="B190" s="3" t="s">
        <v>999</v>
      </c>
      <c r="D190" s="26" t="s">
        <v>343</v>
      </c>
      <c r="E190" s="63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3">
        <f t="shared" si="30"/>
        <v>0</v>
      </c>
      <c r="R190" s="39">
        <f>Q190/Summary!$Q$16</f>
        <v>0</v>
      </c>
      <c r="S190" s="35"/>
      <c r="T190" s="40">
        <f t="shared" si="29"/>
        <v>0</v>
      </c>
    </row>
    <row r="191" spans="1:20" s="3" customFormat="1" ht="25.4" customHeight="1">
      <c r="A191" s="254" t="s">
        <v>621</v>
      </c>
      <c r="B191" s="3" t="s">
        <v>999</v>
      </c>
      <c r="D191" s="26" t="s">
        <v>345</v>
      </c>
      <c r="E191" s="63">
        <v>12199</v>
      </c>
      <c r="F191" s="63">
        <v>12299</v>
      </c>
      <c r="G191" s="63">
        <v>12199</v>
      </c>
      <c r="H191" s="63">
        <v>12199</v>
      </c>
      <c r="I191" s="63">
        <v>12199</v>
      </c>
      <c r="J191" s="63">
        <v>12199</v>
      </c>
      <c r="K191" s="63">
        <v>12199</v>
      </c>
      <c r="L191" s="63">
        <v>12199</v>
      </c>
      <c r="M191" s="63">
        <v>12199</v>
      </c>
      <c r="N191" s="63">
        <v>12199</v>
      </c>
      <c r="O191" s="63">
        <v>12199</v>
      </c>
      <c r="P191" s="63">
        <v>12199</v>
      </c>
      <c r="Q191" s="3">
        <f t="shared" si="30"/>
        <v>146488</v>
      </c>
      <c r="R191" s="39">
        <f>Q191/Summary!$Q$16</f>
        <v>1.8391407971306869E-3</v>
      </c>
      <c r="S191" s="35"/>
      <c r="T191" s="40" t="e">
        <f t="shared" si="29"/>
        <v>#DIV/0!</v>
      </c>
    </row>
    <row r="192" spans="1:20" s="3" customFormat="1" ht="25.4" customHeight="1">
      <c r="A192" s="254" t="s">
        <v>346</v>
      </c>
      <c r="B192" s="3" t="s">
        <v>999</v>
      </c>
      <c r="D192" s="26" t="s">
        <v>347</v>
      </c>
      <c r="E192" s="63">
        <v>1778.65</v>
      </c>
      <c r="F192" s="63">
        <v>1771.6499999999999</v>
      </c>
      <c r="G192" s="63">
        <v>1764.7</v>
      </c>
      <c r="H192" s="63">
        <v>1757.8</v>
      </c>
      <c r="I192" s="63">
        <v>1711.05</v>
      </c>
      <c r="J192" s="63">
        <v>1685.3999999999999</v>
      </c>
      <c r="K192" s="63">
        <v>1654.4</v>
      </c>
      <c r="L192" s="63">
        <v>1654.4</v>
      </c>
      <c r="M192" s="63">
        <v>1642.3500000000001</v>
      </c>
      <c r="N192" s="63">
        <v>1630.4499999999998</v>
      </c>
      <c r="O192" s="63">
        <v>1624.5500000000002</v>
      </c>
      <c r="P192" s="63">
        <v>1618.7</v>
      </c>
      <c r="Q192" s="3">
        <f t="shared" si="30"/>
        <v>20294.099999999999</v>
      </c>
      <c r="R192" s="39">
        <f>Q192/Summary!$Q$16</f>
        <v>2.5479020295894459E-4</v>
      </c>
      <c r="S192" s="35"/>
      <c r="T192" s="40" t="e">
        <f t="shared" si="29"/>
        <v>#DIV/0!</v>
      </c>
    </row>
    <row r="193" spans="1:20" s="3" customFormat="1" ht="25.4" customHeight="1">
      <c r="A193" s="3" t="s">
        <v>624</v>
      </c>
      <c r="B193" s="3" t="s">
        <v>999</v>
      </c>
      <c r="D193" s="26" t="s">
        <v>349</v>
      </c>
      <c r="E193" s="63">
        <v>5266.25</v>
      </c>
      <c r="F193" s="63">
        <v>5179.4500000000007</v>
      </c>
      <c r="G193" s="63">
        <v>5111.8</v>
      </c>
      <c r="H193" s="63">
        <v>5134.8999999999996</v>
      </c>
      <c r="I193" s="63">
        <v>5030.8499999999995</v>
      </c>
      <c r="J193" s="63">
        <v>4943.05</v>
      </c>
      <c r="K193" s="63">
        <v>4903.1499999999996</v>
      </c>
      <c r="L193" s="63">
        <v>4912.0999999999995</v>
      </c>
      <c r="M193" s="63">
        <v>4932</v>
      </c>
      <c r="N193" s="63">
        <v>4968.55</v>
      </c>
      <c r="O193" s="63">
        <v>4907.9000000000005</v>
      </c>
      <c r="P193" s="63">
        <v>4892.0999999999995</v>
      </c>
      <c r="Q193" s="3">
        <f t="shared" si="30"/>
        <v>60182.1</v>
      </c>
      <c r="R193" s="39">
        <f>Q193/Summary!$Q$16</f>
        <v>7.5557967456036474E-4</v>
      </c>
      <c r="S193" s="35"/>
      <c r="T193" s="40" t="e">
        <f t="shared" si="29"/>
        <v>#DIV/0!</v>
      </c>
    </row>
    <row r="194" spans="1:20" s="3" customFormat="1" ht="25.4" customHeight="1">
      <c r="A194" s="54"/>
      <c r="B194" s="51"/>
      <c r="D194" s="19" t="s">
        <v>350</v>
      </c>
      <c r="E194" s="52">
        <f>SUM(E187:E193)</f>
        <v>19243.900000000001</v>
      </c>
      <c r="F194" s="52">
        <f t="shared" ref="F194:P194" si="31">SUM(F187:F193)</f>
        <v>19250.099999999999</v>
      </c>
      <c r="G194" s="52">
        <f t="shared" si="31"/>
        <v>19075.5</v>
      </c>
      <c r="H194" s="52">
        <f t="shared" si="31"/>
        <v>19091.699999999997</v>
      </c>
      <c r="I194" s="52">
        <f t="shared" si="31"/>
        <v>18940.899999999998</v>
      </c>
      <c r="J194" s="52">
        <f t="shared" si="31"/>
        <v>18827.45</v>
      </c>
      <c r="K194" s="52">
        <f t="shared" si="31"/>
        <v>18756.55</v>
      </c>
      <c r="L194" s="52">
        <f t="shared" si="31"/>
        <v>18765.5</v>
      </c>
      <c r="M194" s="52">
        <f t="shared" si="31"/>
        <v>18773.349999999999</v>
      </c>
      <c r="N194" s="52">
        <f t="shared" si="31"/>
        <v>18798</v>
      </c>
      <c r="O194" s="52">
        <f t="shared" si="31"/>
        <v>18731.45</v>
      </c>
      <c r="P194" s="52">
        <f t="shared" si="31"/>
        <v>18709.8</v>
      </c>
      <c r="Q194" s="52">
        <f t="shared" ref="Q194" si="32">SUM(Q187:Q193)</f>
        <v>226964.2</v>
      </c>
      <c r="R194" s="39">
        <f>Q194/Summary!$Q$16</f>
        <v>2.8495106746499964E-3</v>
      </c>
      <c r="S194" s="35"/>
      <c r="T194" s="40" t="e">
        <f t="shared" si="29"/>
        <v>#DIV/0!</v>
      </c>
    </row>
    <row r="195" spans="1:20" s="3" customFormat="1" ht="25.4" customHeight="1">
      <c r="A195" s="54"/>
      <c r="B195" s="51"/>
      <c r="D195" s="19" t="s">
        <v>351</v>
      </c>
      <c r="E195" s="52">
        <f>E166+E175+E185+E194</f>
        <v>205693.63</v>
      </c>
      <c r="F195" s="52">
        <f t="shared" ref="F195:Q195" si="33">F166+F175+F185+F194</f>
        <v>205699.83000000002</v>
      </c>
      <c r="G195" s="52">
        <f t="shared" si="33"/>
        <v>205525.23</v>
      </c>
      <c r="H195" s="52">
        <f>H166+H175+H185+H194</f>
        <v>205541.43</v>
      </c>
      <c r="I195" s="52">
        <f t="shared" si="33"/>
        <v>205390.63</v>
      </c>
      <c r="J195" s="52">
        <f t="shared" si="33"/>
        <v>205277.18000000002</v>
      </c>
      <c r="K195" s="52">
        <f t="shared" si="33"/>
        <v>205206.28</v>
      </c>
      <c r="L195" s="52">
        <f t="shared" si="33"/>
        <v>205215.23</v>
      </c>
      <c r="M195" s="52">
        <f t="shared" si="33"/>
        <v>205223.08000000002</v>
      </c>
      <c r="N195" s="52">
        <f t="shared" si="33"/>
        <v>205247.73</v>
      </c>
      <c r="O195" s="52">
        <f t="shared" si="33"/>
        <v>205181.18000000002</v>
      </c>
      <c r="P195" s="52">
        <f t="shared" si="33"/>
        <v>205159.53</v>
      </c>
      <c r="Q195" s="52">
        <f t="shared" si="33"/>
        <v>2464360.96</v>
      </c>
      <c r="R195" s="39">
        <f>Q195/Summary!$Q$16</f>
        <v>3.0939781964339365E-2</v>
      </c>
      <c r="S195" s="35"/>
      <c r="T195" s="40" t="e">
        <f t="shared" si="29"/>
        <v>#DIV/0!</v>
      </c>
    </row>
    <row r="196" spans="1:20" s="3" customFormat="1" ht="25.4" customHeight="1">
      <c r="A196" s="54"/>
      <c r="B196" s="51"/>
      <c r="D196" s="21"/>
      <c r="E196" s="53"/>
      <c r="F196" s="53"/>
      <c r="G196" s="53"/>
      <c r="H196" s="53"/>
      <c r="I196" s="53"/>
      <c r="S196" s="35"/>
      <c r="T196" s="40"/>
    </row>
    <row r="197" spans="1:20" s="3" customFormat="1" ht="25.4" customHeight="1">
      <c r="A197" s="50" t="s">
        <v>108</v>
      </c>
      <c r="B197" s="3" t="s">
        <v>999</v>
      </c>
      <c r="D197" s="19" t="s">
        <v>354</v>
      </c>
      <c r="E197" s="27">
        <v>5</v>
      </c>
      <c r="F197" s="27">
        <v>5</v>
      </c>
      <c r="G197" s="27">
        <v>5</v>
      </c>
      <c r="H197" s="27">
        <v>5</v>
      </c>
      <c r="I197" s="27">
        <v>5</v>
      </c>
      <c r="J197" s="27">
        <v>5</v>
      </c>
      <c r="K197" s="27">
        <v>5</v>
      </c>
      <c r="L197" s="27">
        <v>5</v>
      </c>
      <c r="M197" s="27">
        <v>5</v>
      </c>
      <c r="N197" s="27">
        <v>5</v>
      </c>
      <c r="O197" s="27">
        <v>5</v>
      </c>
      <c r="P197" s="27">
        <v>5</v>
      </c>
      <c r="Q197" s="75">
        <f>SUM(E197:P197)/12</f>
        <v>5</v>
      </c>
      <c r="S197" s="35"/>
      <c r="T197" s="40" t="e">
        <f>-IF(Q197-S197=0,0,(Q197-S197)/S197)</f>
        <v>#DIV/0!</v>
      </c>
    </row>
    <row r="198" spans="1:20" ht="26.25" customHeight="1">
      <c r="Q198" s="27"/>
    </row>
  </sheetData>
  <phoneticPr fontId="56" type="noConversion"/>
  <dataValidations count="37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418.5_x000d__x000a_" sqref="F50:P50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6=0_x000d__x000a_" sqref="E158:Q158">
      <formula1>0</formula1>
      <formula2>300</formula2>
    </dataValidation>
    <dataValidation type="textLength" errorStyle="information" allowBlank="1" showInputMessage="1" showErrorMessage="1" error="XLBVal:6=3239.86_x000d__x000a_" sqref="E159:Q159">
      <formula1>0</formula1>
      <formula2>300</formula2>
    </dataValidation>
    <dataValidation type="textLength" errorStyle="information" allowBlank="1" showInputMessage="1" showErrorMessage="1" error="XLBVal:6=266145.85_x000d__x000a_" sqref="E160:P160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sqref="H186:I186 E162:I163 F194:Q195 F196:I196 H167:I167 H176:I176 E194:E196">
      <formula1>0</formula1>
      <formula2>300</formula2>
    </dataValidation>
    <dataValidation type="textLength" errorStyle="information" allowBlank="1" showInputMessage="1" showErrorMessage="1" error="XLBVal:2=0_x000d__x000a_" sqref="E27:P42 E15:E25 F13:F25 Q26:Q157 Q164:Q165 Q187:Q193 E73:P80 F51:P69 E44:P49 E91:P157 G15:Q25 E168:P168 E192:P192 E50:E69 E82:P89 E184:P184 E171:P174 E71:P71 E187:P190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6=3678_x000d__x000a_" sqref="F186:G186 F185:Q185 E185:E186">
      <formula1>0</formula1>
      <formula2>300</formula2>
    </dataValidation>
    <dataValidation type="textLength" errorStyle="information" allowBlank="1" showInputMessage="1" showErrorMessage="1" error="XLBVal:6=3_x000d__x000a_" sqref="E197:P197">
      <formula1>0</formula1>
      <formula2>300</formula2>
    </dataValidation>
    <dataValidation type="textLength" errorStyle="information" allowBlank="1" showInputMessage="1" showErrorMessage="1" error="XLBVal:6=1260_x000d__x000a_" sqref="Q197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69013_x000d__x000a_" sqref="Q168:Q174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4638.36_x000d__x000a_" sqref="E90:P90">
      <formula1>0</formula1>
      <formula2>300</formula2>
    </dataValidation>
    <dataValidation type="textLength" errorStyle="information" allowBlank="1" showInputMessage="1" showErrorMessage="1" error="XLBVal:6=102.56_x000d__x000a_" sqref="E43:P43">
      <formula1>0</formula1>
      <formula2>300</formula2>
    </dataValidation>
    <dataValidation type="textLength" errorStyle="information" allowBlank="1" showInputMessage="1" showErrorMessage="1" error="XLBVal:6=1470.9_x000d__x000a_" sqref="E70:P70">
      <formula1>0</formula1>
      <formula2>300</formula2>
    </dataValidation>
    <dataValidation type="textLength" errorStyle="information" allowBlank="1" showInputMessage="1" showErrorMessage="1" error="XLBVal:6=2987.42_x000d__x000a_" sqref="E81:P81">
      <formula1>0</formula1>
      <formula2>300</formula2>
    </dataValidation>
    <dataValidation type="textLength" errorStyle="information" allowBlank="1" showInputMessage="1" showErrorMessage="1" error="XLBVal:6=4420.83_x000d__x000a_" sqref="E26:P26">
      <formula1>0</formula1>
      <formula2>300</formula2>
    </dataValidation>
    <dataValidation type="textLength" errorStyle="information" allowBlank="1" showInputMessage="1" showErrorMessage="1" error="XLBVal:6=575.29_x000d__x000a_" sqref="E72:P72">
      <formula1>0</formula1>
      <formula2>300</formula2>
    </dataValidation>
    <dataValidation type="textLength" errorStyle="information" allowBlank="1" showInputMessage="1" showErrorMessage="1" error="XLBVal:6=1880_x000d__x000a_" sqref="E183:P183">
      <formula1>0</formula1>
      <formula2>300</formula2>
    </dataValidation>
    <dataValidation type="textLength" errorStyle="information" allowBlank="1" showInputMessage="1" showErrorMessage="1" error="XLBVal:6=383.14_x000d__x000a_" sqref="E181:P181">
      <formula1>0</formula1>
      <formula2>300</formula2>
    </dataValidation>
    <dataValidation type="textLength" errorStyle="information" allowBlank="1" showInputMessage="1" showErrorMessage="1" error="XLBVal:6=4000_x000d__x000a_" sqref="E165:P165 E170:P170">
      <formula1>0</formula1>
      <formula2>300</formula2>
    </dataValidation>
    <dataValidation type="textLength" errorStyle="information" allowBlank="1" showInputMessage="1" showErrorMessage="1" error="XLBVal:6=1768.22_x000d__x000a_" sqref="E193:P193">
      <formula1>0</formula1>
      <formula2>300</formula2>
    </dataValidation>
    <dataValidation type="textLength" errorStyle="information" allowBlank="1" showInputMessage="1" showErrorMessage="1" error="XLBVal:6=262.89_x000d__x000a_" sqref="E179:P179">
      <formula1>0</formula1>
      <formula2>300</formula2>
    </dataValidation>
    <dataValidation type="textLength" errorStyle="information" allowBlank="1" showInputMessage="1" showErrorMessage="1" error="XLBVal:6=3831.36_x000d__x000a_" sqref="E178:P178">
      <formula1>0</formula1>
      <formula2>300</formula2>
    </dataValidation>
    <dataValidation type="textLength" errorStyle="information" allowBlank="1" showInputMessage="1" showErrorMessage="1" error="XLBVal:6=8412.48_x000d__x000a_" sqref="E177:P177">
      <formula1>0</formula1>
      <formula2>300</formula2>
    </dataValidation>
    <dataValidation type="textLength" errorStyle="information" allowBlank="1" showInputMessage="1" showErrorMessage="1" error="XLBVal:6=7206_x000d__x000a_" sqref="E182:P182">
      <formula1>0</formula1>
      <formula2>300</formula2>
    </dataValidation>
    <dataValidation type="textLength" errorStyle="information" allowBlank="1" showInputMessage="1" showErrorMessage="1" error="XLBVal:6=210.32_x000d__x000a_" sqref="E180:P180">
      <formula1>0</formula1>
      <formula2>300</formula2>
    </dataValidation>
    <dataValidation type="textLength" errorStyle="information" allowBlank="1" showInputMessage="1" showErrorMessage="1" error="XLBVal:6=86000_x000d__x000a_" sqref="E164:P164">
      <formula1>0</formula1>
      <formula2>300</formula2>
    </dataValidation>
    <dataValidation type="textLength" errorStyle="information" allowBlank="1" showInputMessage="1" showErrorMessage="1" error="XLBVal:6=7500_x000d__x000a_" sqref="E169:P169">
      <formula1>0</formula1>
      <formula2>300</formula2>
    </dataValidation>
    <dataValidation type="textLength" errorStyle="information" allowBlank="1" showInputMessage="1" showErrorMessage="1" error="XLBVal:6=6202.5_x000d__x000a_" sqref="E191:P191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V197"/>
  <sheetViews>
    <sheetView zoomScale="55" zoomScaleNormal="55" zoomScaleSheetLayoutView="40" workbookViewId="0">
      <pane xSplit="4" ySplit="11" topLeftCell="E67" activePane="bottomRight" state="frozen"/>
      <selection activeCell="D9" sqref="D9"/>
      <selection pane="topRight" activeCell="D9" sqref="D9"/>
      <selection pane="bottomLeft" activeCell="D9" sqref="D9"/>
      <selection pane="bottomRight" activeCell="K75" sqref="K75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7" style="6" customWidth="1" collapsed="1"/>
    <col min="5" max="9" width="19.90625" style="7" customWidth="1"/>
    <col min="10" max="12" width="19.90625" style="5" customWidth="1"/>
    <col min="13" max="16" width="20.90625" style="5" customWidth="1"/>
    <col min="17" max="17" width="27.453125" style="5" customWidth="1"/>
    <col min="18" max="18" width="12" style="5" customWidth="1"/>
    <col min="19" max="19" width="22.453125" style="8" hidden="1" customWidth="1"/>
    <col min="20" max="20" width="22.453125" style="5" hidden="1" customWidth="1"/>
    <col min="21" max="21" width="71.36328125" style="5" customWidth="1"/>
    <col min="22" max="22" width="13.08984375" style="5" bestFit="1" customWidth="1"/>
    <col min="23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S4" s="33"/>
    </row>
    <row r="5" spans="1:20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</row>
    <row r="6" spans="1:20" s="2" customFormat="1" ht="25.4" customHeight="1">
      <c r="D6" s="14" t="s">
        <v>1000</v>
      </c>
      <c r="E6" s="13"/>
      <c r="F6" s="13"/>
      <c r="G6" s="13"/>
      <c r="H6" s="13"/>
      <c r="I6" s="13"/>
      <c r="S6" s="33"/>
    </row>
    <row r="7" spans="1:20" s="2" customFormat="1" ht="25.4" customHeight="1">
      <c r="D7" s="199">
        <f>Parameter!H4</f>
        <v>2025</v>
      </c>
      <c r="E7" s="13"/>
      <c r="F7" s="13"/>
      <c r="G7" s="13"/>
      <c r="H7" s="13"/>
      <c r="I7" s="13"/>
      <c r="S7" s="33"/>
    </row>
    <row r="8" spans="1:20" ht="25.4" customHeight="1">
      <c r="D8" s="1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D11" s="21"/>
      <c r="E11" s="22"/>
      <c r="F11" s="22"/>
      <c r="G11" s="22"/>
      <c r="H11" s="23"/>
      <c r="I11" s="23"/>
      <c r="S11" s="35"/>
    </row>
    <row r="12" spans="1:20" s="3" customFormat="1" ht="25.4" customHeight="1">
      <c r="A12" s="3" t="s">
        <v>466</v>
      </c>
      <c r="B12" s="3" t="s">
        <v>1001</v>
      </c>
      <c r="D12" s="21" t="s">
        <v>139</v>
      </c>
      <c r="E12" s="43">
        <f>+E195</f>
        <v>192977.97</v>
      </c>
      <c r="F12" s="43">
        <f t="shared" ref="F12:P12" si="0">+F195</f>
        <v>192995.33</v>
      </c>
      <c r="G12" s="43">
        <f t="shared" si="0"/>
        <v>192506.45</v>
      </c>
      <c r="H12" s="43">
        <f t="shared" si="0"/>
        <v>192551.81</v>
      </c>
      <c r="I12" s="43">
        <f t="shared" si="0"/>
        <v>196739.22</v>
      </c>
      <c r="J12" s="43">
        <f t="shared" si="0"/>
        <v>191811.91</v>
      </c>
      <c r="K12" s="43">
        <f t="shared" si="0"/>
        <v>191613.38999999998</v>
      </c>
      <c r="L12" s="43">
        <f t="shared" si="0"/>
        <v>191638.45</v>
      </c>
      <c r="M12" s="43">
        <f t="shared" si="0"/>
        <v>191660.43</v>
      </c>
      <c r="N12" s="43">
        <f t="shared" si="0"/>
        <v>198005.32</v>
      </c>
      <c r="O12" s="43">
        <f t="shared" si="0"/>
        <v>191543.11</v>
      </c>
      <c r="P12" s="43">
        <f t="shared" si="0"/>
        <v>191482.49</v>
      </c>
      <c r="Q12" s="43">
        <f>SUM(E12:P12)</f>
        <v>2315525.88</v>
      </c>
      <c r="R12" s="39">
        <f>Q12/Summary!$Q$16</f>
        <v>2.9071173834852925E-2</v>
      </c>
      <c r="S12" s="35"/>
      <c r="T12" s="40" t="e">
        <f>-IF(Q12-S12=0,0,(Q12-S12)/S12)</f>
        <v>#DIV/0!</v>
      </c>
    </row>
    <row r="13" spans="1:20" s="3" customFormat="1" ht="25.4" customHeight="1">
      <c r="D13" s="26"/>
      <c r="E13" s="24"/>
      <c r="F13" s="24"/>
      <c r="G13" s="24"/>
      <c r="H13" s="25"/>
      <c r="I13" s="25"/>
      <c r="S13" s="35"/>
      <c r="T13" s="40"/>
    </row>
    <row r="14" spans="1:20" s="3" customFormat="1" ht="25.4" customHeight="1">
      <c r="D14" s="21" t="s">
        <v>140</v>
      </c>
      <c r="E14" s="24"/>
      <c r="F14" s="24"/>
      <c r="G14" s="24"/>
      <c r="H14" s="25"/>
      <c r="I14" s="25"/>
      <c r="S14" s="35"/>
      <c r="T14" s="40"/>
    </row>
    <row r="15" spans="1:20" s="3" customFormat="1" ht="25.4" hidden="1" customHeight="1">
      <c r="A15" s="3" t="s">
        <v>468</v>
      </c>
      <c r="B15" s="3" t="s">
        <v>1001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3">
        <f>SUM(E15:P15)</f>
        <v>0</v>
      </c>
      <c r="R15" s="39">
        <f>Q15/Summary!$Q$16</f>
        <v>0</v>
      </c>
      <c r="S15" s="35"/>
      <c r="T15" s="40">
        <f t="shared" ref="T15:T25" si="1">IF(Q15-S15=0,0,(Q15-S15)/S15)</f>
        <v>0</v>
      </c>
    </row>
    <row r="16" spans="1:20" s="3" customFormat="1" ht="25.4" hidden="1" customHeight="1">
      <c r="A16" s="3" t="s">
        <v>470</v>
      </c>
      <c r="B16" s="3" t="s">
        <v>1001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3">
        <f t="shared" ref="Q16:Q79" si="2">SUM(E16:P16)</f>
        <v>0</v>
      </c>
      <c r="R16" s="39">
        <f>Q16/Summary!$Q$16</f>
        <v>0</v>
      </c>
      <c r="S16" s="35"/>
      <c r="T16" s="40">
        <f t="shared" si="1"/>
        <v>0</v>
      </c>
    </row>
    <row r="17" spans="1:20" s="3" customFormat="1" ht="25.4" hidden="1" customHeight="1">
      <c r="A17" s="3" t="s">
        <v>472</v>
      </c>
      <c r="B17" s="3" t="s">
        <v>1001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3">
        <f t="shared" si="2"/>
        <v>0</v>
      </c>
      <c r="R17" s="39">
        <f>Q17/Summary!$Q$16</f>
        <v>0</v>
      </c>
      <c r="S17" s="35"/>
      <c r="T17" s="40">
        <f t="shared" si="1"/>
        <v>0</v>
      </c>
    </row>
    <row r="18" spans="1:20" s="3" customFormat="1" ht="25.4" hidden="1" customHeight="1">
      <c r="A18" s="3" t="s">
        <v>474</v>
      </c>
      <c r="B18" s="3" t="s">
        <v>1001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3">
        <f t="shared" si="2"/>
        <v>0</v>
      </c>
      <c r="R18" s="39">
        <f>Q18/Summary!$Q$16</f>
        <v>0</v>
      </c>
      <c r="S18" s="35"/>
      <c r="T18" s="40">
        <f t="shared" si="1"/>
        <v>0</v>
      </c>
    </row>
    <row r="19" spans="1:20" s="3" customFormat="1" ht="25.4" hidden="1" customHeight="1">
      <c r="A19" s="3" t="s">
        <v>476</v>
      </c>
      <c r="B19" s="3" t="s">
        <v>1001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3">
        <f t="shared" si="2"/>
        <v>0</v>
      </c>
      <c r="R19" s="39">
        <f>Q19/Summary!$Q$16</f>
        <v>0</v>
      </c>
      <c r="S19" s="35"/>
      <c r="T19" s="40">
        <f t="shared" si="1"/>
        <v>0</v>
      </c>
    </row>
    <row r="20" spans="1:20" s="3" customFormat="1" ht="25.4" hidden="1" customHeight="1">
      <c r="A20" s="3" t="s">
        <v>478</v>
      </c>
      <c r="B20" s="3" t="s">
        <v>1001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3">
        <f t="shared" si="2"/>
        <v>0</v>
      </c>
      <c r="R20" s="39">
        <f>Q20/Summary!$Q$16</f>
        <v>0</v>
      </c>
      <c r="S20" s="35"/>
      <c r="T20" s="40">
        <f t="shared" si="1"/>
        <v>0</v>
      </c>
    </row>
    <row r="21" spans="1:20" s="3" customFormat="1" ht="25.4" hidden="1" customHeight="1">
      <c r="A21" s="3" t="s">
        <v>480</v>
      </c>
      <c r="B21" s="3" t="s">
        <v>1001</v>
      </c>
      <c r="D21" s="26" t="s">
        <v>481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3">
        <f t="shared" si="2"/>
        <v>0</v>
      </c>
      <c r="R21" s="39">
        <f>Q21/Summary!$Q$16</f>
        <v>0</v>
      </c>
      <c r="S21" s="35"/>
      <c r="T21" s="40">
        <f t="shared" si="1"/>
        <v>0</v>
      </c>
    </row>
    <row r="22" spans="1:20" s="3" customFormat="1" ht="25.4" hidden="1" customHeight="1">
      <c r="A22" s="3" t="s">
        <v>482</v>
      </c>
      <c r="B22" s="3" t="s">
        <v>1001</v>
      </c>
      <c r="D22" s="29" t="s">
        <v>483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3">
        <f t="shared" si="2"/>
        <v>0</v>
      </c>
      <c r="R22" s="39">
        <f>Q22/Summary!$Q$16</f>
        <v>0</v>
      </c>
      <c r="S22" s="35"/>
      <c r="T22" s="40">
        <f t="shared" si="1"/>
        <v>0</v>
      </c>
    </row>
    <row r="23" spans="1:20" s="3" customFormat="1" ht="25.4" hidden="1" customHeight="1">
      <c r="A23" s="3" t="s">
        <v>484</v>
      </c>
      <c r="B23" s="3" t="s">
        <v>1001</v>
      </c>
      <c r="D23" s="26" t="s">
        <v>485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3">
        <f t="shared" si="2"/>
        <v>0</v>
      </c>
      <c r="R23" s="39">
        <f>Q23/Summary!$Q$16</f>
        <v>0</v>
      </c>
      <c r="S23" s="35"/>
      <c r="T23" s="40">
        <f t="shared" si="1"/>
        <v>0</v>
      </c>
    </row>
    <row r="24" spans="1:20" s="3" customFormat="1" ht="25.4" hidden="1" customHeight="1">
      <c r="A24" s="3" t="s">
        <v>486</v>
      </c>
      <c r="B24" s="3" t="s">
        <v>1001</v>
      </c>
      <c r="D24" s="26" t="s">
        <v>487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3">
        <f t="shared" si="2"/>
        <v>0</v>
      </c>
      <c r="R24" s="39">
        <f>Q24/Summary!$Q$16</f>
        <v>0</v>
      </c>
      <c r="S24" s="35"/>
      <c r="T24" s="40">
        <f t="shared" si="1"/>
        <v>0</v>
      </c>
    </row>
    <row r="25" spans="1:20" s="3" customFormat="1" ht="25.4" hidden="1" customHeight="1">
      <c r="A25" s="3" t="s">
        <v>488</v>
      </c>
      <c r="B25" s="3" t="s">
        <v>1001</v>
      </c>
      <c r="D25" s="26" t="s">
        <v>489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3">
        <f t="shared" si="2"/>
        <v>0</v>
      </c>
      <c r="R25" s="39">
        <f>Q25/Summary!$Q$16</f>
        <v>0</v>
      </c>
      <c r="S25" s="35"/>
      <c r="T25" s="40">
        <f t="shared" si="1"/>
        <v>0</v>
      </c>
    </row>
    <row r="26" spans="1:20" s="3" customFormat="1" ht="25.4" customHeight="1">
      <c r="A26" s="3" t="s">
        <v>490</v>
      </c>
      <c r="B26" s="3" t="s">
        <v>1001</v>
      </c>
      <c r="D26" s="26" t="s">
        <v>491</v>
      </c>
      <c r="E26" s="63">
        <v>1000</v>
      </c>
      <c r="F26" s="63">
        <v>1000</v>
      </c>
      <c r="G26" s="63">
        <v>500</v>
      </c>
      <c r="H26" s="63">
        <v>500</v>
      </c>
      <c r="I26" s="63">
        <v>500</v>
      </c>
      <c r="J26" s="63">
        <v>500</v>
      </c>
      <c r="K26" s="63">
        <v>500</v>
      </c>
      <c r="L26" s="63">
        <v>500</v>
      </c>
      <c r="M26" s="63">
        <v>1500</v>
      </c>
      <c r="N26" s="63">
        <v>1500</v>
      </c>
      <c r="O26" s="63">
        <v>800</v>
      </c>
      <c r="P26" s="63">
        <v>800</v>
      </c>
      <c r="Q26" s="3">
        <f t="shared" si="2"/>
        <v>9600</v>
      </c>
      <c r="R26" s="39">
        <f>Q26/Summary!$Q$16</f>
        <v>1.2052694864053435E-4</v>
      </c>
      <c r="S26" s="35"/>
      <c r="T26" s="40" t="e">
        <f t="shared" ref="T26:T70" si="3">-IF(Q26-S26=0,0,(Q26-S26)/S26)</f>
        <v>#DIV/0!</v>
      </c>
    </row>
    <row r="27" spans="1:20" s="3" customFormat="1" ht="25.4" hidden="1" customHeight="1">
      <c r="A27" s="3" t="s">
        <v>492</v>
      </c>
      <c r="B27" s="3" t="s">
        <v>1001</v>
      </c>
      <c r="D27" s="26" t="s">
        <v>493</v>
      </c>
      <c r="E27" s="63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>
        <f t="shared" si="2"/>
        <v>0</v>
      </c>
      <c r="R27" s="39">
        <f>Q27/Summary!$Q$16</f>
        <v>0</v>
      </c>
      <c r="S27" s="35"/>
      <c r="T27" s="40">
        <f t="shared" si="3"/>
        <v>0</v>
      </c>
    </row>
    <row r="28" spans="1:20" s="3" customFormat="1" ht="25.4" hidden="1" customHeight="1">
      <c r="A28" s="3" t="s">
        <v>494</v>
      </c>
      <c r="B28" s="3" t="s">
        <v>1001</v>
      </c>
      <c r="D28" s="26" t="s">
        <v>495</v>
      </c>
      <c r="E28" s="63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>
        <f t="shared" si="2"/>
        <v>0</v>
      </c>
      <c r="R28" s="39">
        <f>Q28/Summary!$Q$16</f>
        <v>0</v>
      </c>
      <c r="S28" s="35"/>
      <c r="T28" s="40">
        <f t="shared" si="3"/>
        <v>0</v>
      </c>
    </row>
    <row r="29" spans="1:20" s="3" customFormat="1" ht="25.4" hidden="1" customHeight="1">
      <c r="A29" s="3" t="s">
        <v>496</v>
      </c>
      <c r="B29" s="3" t="s">
        <v>1001</v>
      </c>
      <c r="D29" s="26" t="s">
        <v>171</v>
      </c>
      <c r="E29" s="63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>
        <f t="shared" si="2"/>
        <v>0</v>
      </c>
      <c r="R29" s="39">
        <f>Q29/Summary!$Q$16</f>
        <v>0</v>
      </c>
      <c r="S29" s="35"/>
      <c r="T29" s="40">
        <f t="shared" si="3"/>
        <v>0</v>
      </c>
    </row>
    <row r="30" spans="1:20" s="3" customFormat="1" ht="25.4" hidden="1" customHeight="1">
      <c r="A30" s="3" t="s">
        <v>497</v>
      </c>
      <c r="B30" s="3" t="s">
        <v>1001</v>
      </c>
      <c r="D30" s="26" t="s">
        <v>173</v>
      </c>
      <c r="E30" s="63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>
        <f t="shared" si="2"/>
        <v>0</v>
      </c>
      <c r="R30" s="39">
        <f>Q30/Summary!$Q$16</f>
        <v>0</v>
      </c>
      <c r="S30" s="35"/>
      <c r="T30" s="40">
        <f t="shared" si="3"/>
        <v>0</v>
      </c>
    </row>
    <row r="31" spans="1:20" s="3" customFormat="1" ht="25.4" hidden="1" customHeight="1">
      <c r="A31" s="3" t="s">
        <v>498</v>
      </c>
      <c r="B31" s="3" t="s">
        <v>1001</v>
      </c>
      <c r="D31" s="26" t="s">
        <v>499</v>
      </c>
      <c r="E31" s="63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>
        <f t="shared" si="2"/>
        <v>0</v>
      </c>
      <c r="R31" s="39">
        <f>Q31/Summary!$Q$16</f>
        <v>0</v>
      </c>
      <c r="S31" s="35"/>
      <c r="T31" s="40">
        <f t="shared" si="3"/>
        <v>0</v>
      </c>
    </row>
    <row r="32" spans="1:20" s="3" customFormat="1" ht="25.4" hidden="1" customHeight="1">
      <c r="A32" s="3" t="s">
        <v>500</v>
      </c>
      <c r="B32" s="3" t="s">
        <v>1001</v>
      </c>
      <c r="D32" s="26" t="s">
        <v>501</v>
      </c>
      <c r="E32" s="63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>
        <f t="shared" si="2"/>
        <v>0</v>
      </c>
      <c r="R32" s="39">
        <f>Q32/Summary!$Q$16</f>
        <v>0</v>
      </c>
      <c r="S32" s="35"/>
      <c r="T32" s="40">
        <f t="shared" si="3"/>
        <v>0</v>
      </c>
    </row>
    <row r="33" spans="1:21" s="3" customFormat="1" ht="25.4" hidden="1" customHeight="1">
      <c r="A33" s="3" t="s">
        <v>502</v>
      </c>
      <c r="B33" s="3" t="s">
        <v>1001</v>
      </c>
      <c r="D33" s="26" t="s">
        <v>503</v>
      </c>
      <c r="E33" s="63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>
        <f t="shared" si="2"/>
        <v>0</v>
      </c>
      <c r="R33" s="39">
        <f>Q33/Summary!$Q$16</f>
        <v>0</v>
      </c>
      <c r="S33" s="35"/>
      <c r="T33" s="40">
        <f t="shared" si="3"/>
        <v>0</v>
      </c>
    </row>
    <row r="34" spans="1:21" s="3" customFormat="1" ht="25.4" hidden="1" customHeight="1">
      <c r="A34" s="3" t="s">
        <v>504</v>
      </c>
      <c r="B34" s="3" t="s">
        <v>1001</v>
      </c>
      <c r="D34" s="26" t="s">
        <v>505</v>
      </c>
      <c r="E34" s="63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>
        <f t="shared" si="2"/>
        <v>0</v>
      </c>
      <c r="R34" s="39">
        <f>Q34/Summary!$Q$16</f>
        <v>0</v>
      </c>
      <c r="S34" s="35"/>
      <c r="T34" s="40">
        <f t="shared" si="3"/>
        <v>0</v>
      </c>
    </row>
    <row r="35" spans="1:21" s="3" customFormat="1" ht="25.4" hidden="1" customHeight="1">
      <c r="A35" s="3" t="s">
        <v>506</v>
      </c>
      <c r="B35" s="3" t="s">
        <v>1001</v>
      </c>
      <c r="D35" s="26" t="s">
        <v>507</v>
      </c>
      <c r="E35" s="63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>
        <f t="shared" si="2"/>
        <v>0</v>
      </c>
      <c r="R35" s="39">
        <f>Q35/Summary!$Q$16</f>
        <v>0</v>
      </c>
      <c r="S35" s="35"/>
      <c r="T35" s="40">
        <f t="shared" si="3"/>
        <v>0</v>
      </c>
    </row>
    <row r="36" spans="1:21" s="3" customFormat="1" ht="25.4" hidden="1" customHeight="1">
      <c r="A36" s="3" t="s">
        <v>508</v>
      </c>
      <c r="B36" s="3" t="s">
        <v>1001</v>
      </c>
      <c r="D36" s="26" t="s">
        <v>509</v>
      </c>
      <c r="E36" s="63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>
        <f t="shared" si="2"/>
        <v>0</v>
      </c>
      <c r="R36" s="39">
        <f>Q36/Summary!$Q$16</f>
        <v>0</v>
      </c>
      <c r="S36" s="35"/>
      <c r="T36" s="40">
        <f t="shared" si="3"/>
        <v>0</v>
      </c>
    </row>
    <row r="37" spans="1:21" s="3" customFormat="1" ht="25.4" hidden="1" customHeight="1">
      <c r="A37" s="3" t="s">
        <v>510</v>
      </c>
      <c r="B37" s="3" t="s">
        <v>1001</v>
      </c>
      <c r="D37" s="26" t="s">
        <v>511</v>
      </c>
      <c r="E37" s="63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>
        <f t="shared" si="2"/>
        <v>0</v>
      </c>
      <c r="R37" s="39">
        <f>Q37/Summary!$Q$16</f>
        <v>0</v>
      </c>
      <c r="S37" s="35"/>
      <c r="T37" s="40">
        <f t="shared" si="3"/>
        <v>0</v>
      </c>
    </row>
    <row r="38" spans="1:21" s="3" customFormat="1" ht="25.4" hidden="1" customHeight="1">
      <c r="A38" s="3" t="s">
        <v>512</v>
      </c>
      <c r="B38" s="3" t="s">
        <v>1001</v>
      </c>
      <c r="D38" s="26" t="s">
        <v>513</v>
      </c>
      <c r="E38" s="63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>
        <f t="shared" si="2"/>
        <v>0</v>
      </c>
      <c r="R38" s="39">
        <f>Q38/Summary!$Q$16</f>
        <v>0</v>
      </c>
      <c r="S38" s="35"/>
      <c r="T38" s="40">
        <f t="shared" si="3"/>
        <v>0</v>
      </c>
    </row>
    <row r="39" spans="1:21" s="3" customFormat="1" ht="25.4" hidden="1" customHeight="1">
      <c r="A39" s="3" t="s">
        <v>514</v>
      </c>
      <c r="B39" s="3" t="s">
        <v>1001</v>
      </c>
      <c r="D39" s="26" t="s">
        <v>515</v>
      </c>
      <c r="E39" s="63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>
        <f t="shared" si="2"/>
        <v>0</v>
      </c>
      <c r="R39" s="39">
        <f>Q39/Summary!$Q$16</f>
        <v>0</v>
      </c>
      <c r="S39" s="35"/>
      <c r="T39" s="40">
        <f t="shared" si="3"/>
        <v>0</v>
      </c>
    </row>
    <row r="40" spans="1:21" s="3" customFormat="1" ht="25.4" hidden="1" customHeight="1">
      <c r="A40" s="3" t="s">
        <v>516</v>
      </c>
      <c r="B40" s="3" t="s">
        <v>1001</v>
      </c>
      <c r="D40" s="26" t="s">
        <v>517</v>
      </c>
      <c r="E40" s="63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>
        <f t="shared" si="2"/>
        <v>0</v>
      </c>
      <c r="R40" s="39">
        <f>Q40/Summary!$Q$16</f>
        <v>0</v>
      </c>
      <c r="S40" s="35"/>
      <c r="T40" s="40">
        <f t="shared" si="3"/>
        <v>0</v>
      </c>
    </row>
    <row r="41" spans="1:21" s="3" customFormat="1" ht="25.4" hidden="1" customHeight="1">
      <c r="A41" s="3" t="s">
        <v>518</v>
      </c>
      <c r="B41" s="3" t="s">
        <v>1001</v>
      </c>
      <c r="D41" s="26" t="s">
        <v>519</v>
      </c>
      <c r="E41" s="63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>
        <f t="shared" si="2"/>
        <v>0</v>
      </c>
      <c r="R41" s="39">
        <f>Q41/Summary!$Q$16</f>
        <v>0</v>
      </c>
      <c r="S41" s="35"/>
      <c r="T41" s="40">
        <f t="shared" si="3"/>
        <v>0</v>
      </c>
    </row>
    <row r="42" spans="1:21" s="3" customFormat="1" ht="25.4" customHeight="1">
      <c r="A42" s="3" t="s">
        <v>520</v>
      </c>
      <c r="B42" s="3" t="s">
        <v>1001</v>
      </c>
      <c r="D42" s="26" t="s">
        <v>521</v>
      </c>
      <c r="E42" s="63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>
        <f t="shared" si="2"/>
        <v>0</v>
      </c>
      <c r="R42" s="39">
        <f>Q42/Summary!$Q$16</f>
        <v>0</v>
      </c>
      <c r="S42" s="35"/>
      <c r="T42" s="40">
        <f t="shared" si="3"/>
        <v>0</v>
      </c>
    </row>
    <row r="43" spans="1:21" s="3" customFormat="1" ht="25.4" customHeight="1">
      <c r="A43" s="3" t="s">
        <v>522</v>
      </c>
      <c r="B43" s="3" t="s">
        <v>1001</v>
      </c>
      <c r="D43" s="26" t="s">
        <v>1203</v>
      </c>
      <c r="E43" s="63">
        <f>+E197*12</f>
        <v>168</v>
      </c>
      <c r="F43" s="27">
        <f t="shared" ref="F43:P43" si="4">+F197*12</f>
        <v>168</v>
      </c>
      <c r="G43" s="27">
        <f t="shared" si="4"/>
        <v>168</v>
      </c>
      <c r="H43" s="27">
        <f t="shared" si="4"/>
        <v>168</v>
      </c>
      <c r="I43" s="27">
        <f t="shared" si="4"/>
        <v>168</v>
      </c>
      <c r="J43" s="27">
        <f t="shared" si="4"/>
        <v>168</v>
      </c>
      <c r="K43" s="27">
        <f t="shared" si="4"/>
        <v>168</v>
      </c>
      <c r="L43" s="27">
        <f t="shared" si="4"/>
        <v>168</v>
      </c>
      <c r="M43" s="27">
        <f t="shared" si="4"/>
        <v>168</v>
      </c>
      <c r="N43" s="27">
        <f t="shared" si="4"/>
        <v>168</v>
      </c>
      <c r="O43" s="27">
        <f t="shared" si="4"/>
        <v>168</v>
      </c>
      <c r="P43" s="27">
        <f t="shared" si="4"/>
        <v>168</v>
      </c>
      <c r="Q43" s="3">
        <f t="shared" si="2"/>
        <v>2016</v>
      </c>
      <c r="R43" s="39">
        <f>Q43/Summary!$Q$16</f>
        <v>2.5310659214512211E-5</v>
      </c>
      <c r="S43" s="35"/>
      <c r="T43" s="40" t="e">
        <f t="shared" si="3"/>
        <v>#DIV/0!</v>
      </c>
      <c r="U43" s="3" t="s">
        <v>1208</v>
      </c>
    </row>
    <row r="44" spans="1:21" s="3" customFormat="1" ht="25.4" hidden="1" customHeight="1">
      <c r="A44" s="3" t="s">
        <v>524</v>
      </c>
      <c r="B44" s="3" t="s">
        <v>1001</v>
      </c>
      <c r="D44" s="26" t="s">
        <v>525</v>
      </c>
      <c r="E44" s="63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9">
        <f>Q44/Summary!$Q$16</f>
        <v>0</v>
      </c>
      <c r="S44" s="35"/>
      <c r="T44" s="40">
        <f t="shared" si="3"/>
        <v>0</v>
      </c>
    </row>
    <row r="45" spans="1:21" s="3" customFormat="1" ht="25.4" hidden="1" customHeight="1">
      <c r="A45" s="3" t="s">
        <v>526</v>
      </c>
      <c r="B45" s="3" t="s">
        <v>1001</v>
      </c>
      <c r="D45" s="26" t="s">
        <v>527</v>
      </c>
      <c r="E45" s="63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9">
        <f>Q45/Summary!$Q$16</f>
        <v>0</v>
      </c>
      <c r="S45" s="35"/>
      <c r="T45" s="40">
        <f t="shared" si="3"/>
        <v>0</v>
      </c>
    </row>
    <row r="46" spans="1:21" s="3" customFormat="1" ht="25.4" hidden="1" customHeight="1">
      <c r="A46" s="3" t="s">
        <v>528</v>
      </c>
      <c r="B46" s="3" t="s">
        <v>1001</v>
      </c>
      <c r="D46" s="26" t="s">
        <v>529</v>
      </c>
      <c r="E46" s="63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9">
        <f>Q46/Summary!$Q$16</f>
        <v>0</v>
      </c>
      <c r="S46" s="35"/>
      <c r="T46" s="40">
        <f t="shared" si="3"/>
        <v>0</v>
      </c>
    </row>
    <row r="47" spans="1:21" s="3" customFormat="1" ht="25.4" hidden="1" customHeight="1">
      <c r="A47" s="3" t="s">
        <v>530</v>
      </c>
      <c r="B47" s="3" t="s">
        <v>1001</v>
      </c>
      <c r="D47" s="26" t="s">
        <v>531</v>
      </c>
      <c r="E47" s="63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9">
        <f>Q47/Summary!$Q$16</f>
        <v>0</v>
      </c>
      <c r="S47" s="35"/>
      <c r="T47" s="40">
        <f t="shared" si="3"/>
        <v>0</v>
      </c>
    </row>
    <row r="48" spans="1:21" s="3" customFormat="1" ht="25.4" hidden="1" customHeight="1">
      <c r="A48" s="3" t="s">
        <v>532</v>
      </c>
      <c r="B48" s="3" t="s">
        <v>1001</v>
      </c>
      <c r="D48" s="26" t="s">
        <v>533</v>
      </c>
      <c r="E48" s="63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9">
        <f>Q48/Summary!$Q$16</f>
        <v>0</v>
      </c>
      <c r="S48" s="35"/>
      <c r="T48" s="40">
        <f t="shared" si="3"/>
        <v>0</v>
      </c>
    </row>
    <row r="49" spans="1:20" s="3" customFormat="1" ht="25.4" hidden="1" customHeight="1">
      <c r="A49" s="3" t="s">
        <v>534</v>
      </c>
      <c r="B49" s="3" t="s">
        <v>1001</v>
      </c>
      <c r="D49" s="26" t="s">
        <v>535</v>
      </c>
      <c r="E49" s="63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9">
        <f>Q49/Summary!$Q$16</f>
        <v>0</v>
      </c>
      <c r="S49" s="35"/>
      <c r="T49" s="40">
        <f t="shared" si="3"/>
        <v>0</v>
      </c>
    </row>
    <row r="50" spans="1:20" s="3" customFormat="1" ht="25.4" hidden="1" customHeight="1">
      <c r="A50" s="3" t="s">
        <v>536</v>
      </c>
      <c r="B50" s="3" t="s">
        <v>1001</v>
      </c>
      <c r="D50" s="26" t="s">
        <v>537</v>
      </c>
      <c r="E50" s="63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9">
        <f>Q50/Summary!$Q$16</f>
        <v>0</v>
      </c>
      <c r="S50" s="35"/>
      <c r="T50" s="40">
        <f t="shared" si="3"/>
        <v>0</v>
      </c>
    </row>
    <row r="51" spans="1:20" s="3" customFormat="1" ht="25.4" hidden="1" customHeight="1">
      <c r="A51" s="3" t="s">
        <v>538</v>
      </c>
      <c r="B51" s="3" t="s">
        <v>1001</v>
      </c>
      <c r="D51" s="26" t="s">
        <v>539</v>
      </c>
      <c r="E51" s="63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9">
        <f>Q51/Summary!$Q$16</f>
        <v>0</v>
      </c>
      <c r="S51" s="35"/>
      <c r="T51" s="40">
        <f t="shared" si="3"/>
        <v>0</v>
      </c>
    </row>
    <row r="52" spans="1:20" s="3" customFormat="1" ht="25.4" hidden="1" customHeight="1">
      <c r="A52" s="3" t="s">
        <v>540</v>
      </c>
      <c r="B52" s="3" t="s">
        <v>1001</v>
      </c>
      <c r="D52" s="26" t="s">
        <v>541</v>
      </c>
      <c r="E52" s="63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9">
        <f>Q52/Summary!$Q$16</f>
        <v>0</v>
      </c>
      <c r="S52" s="35"/>
      <c r="T52" s="40">
        <f t="shared" si="3"/>
        <v>0</v>
      </c>
    </row>
    <row r="53" spans="1:20" s="3" customFormat="1" ht="25.4" hidden="1" customHeight="1">
      <c r="A53" s="3" t="s">
        <v>542</v>
      </c>
      <c r="B53" s="3" t="s">
        <v>1001</v>
      </c>
      <c r="D53" s="26" t="s">
        <v>543</v>
      </c>
      <c r="E53" s="63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9">
        <f>Q53/Summary!$Q$16</f>
        <v>0</v>
      </c>
      <c r="S53" s="35"/>
      <c r="T53" s="40">
        <f t="shared" si="3"/>
        <v>0</v>
      </c>
    </row>
    <row r="54" spans="1:20" s="3" customFormat="1" ht="25.4" hidden="1" customHeight="1">
      <c r="A54" s="3" t="s">
        <v>544</v>
      </c>
      <c r="B54" s="3" t="s">
        <v>1001</v>
      </c>
      <c r="D54" s="26" t="s">
        <v>545</v>
      </c>
      <c r="E54" s="63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9">
        <f>Q54/Summary!$Q$16</f>
        <v>0</v>
      </c>
      <c r="S54" s="35"/>
      <c r="T54" s="40">
        <f t="shared" si="3"/>
        <v>0</v>
      </c>
    </row>
    <row r="55" spans="1:20" s="3" customFormat="1" ht="25.4" hidden="1" customHeight="1">
      <c r="A55" s="3" t="s">
        <v>546</v>
      </c>
      <c r="B55" s="3" t="s">
        <v>1001</v>
      </c>
      <c r="D55" s="26" t="s">
        <v>547</v>
      </c>
      <c r="E55" s="63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>
        <f t="shared" si="2"/>
        <v>0</v>
      </c>
      <c r="R55" s="39">
        <f>Q55/Summary!$Q$16</f>
        <v>0</v>
      </c>
      <c r="S55" s="35"/>
      <c r="T55" s="40">
        <f t="shared" si="3"/>
        <v>0</v>
      </c>
    </row>
    <row r="56" spans="1:20" s="3" customFormat="1" ht="25.4" hidden="1" customHeight="1">
      <c r="A56" s="3" t="s">
        <v>548</v>
      </c>
      <c r="B56" s="3" t="s">
        <v>1001</v>
      </c>
      <c r="D56" s="26" t="s">
        <v>1227</v>
      </c>
      <c r="E56" s="63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>
        <f t="shared" si="2"/>
        <v>0</v>
      </c>
      <c r="R56" s="39">
        <f>Q56/Summary!$Q$16</f>
        <v>0</v>
      </c>
      <c r="S56" s="35"/>
      <c r="T56" s="40">
        <f t="shared" si="3"/>
        <v>0</v>
      </c>
    </row>
    <row r="57" spans="1:20" s="3" customFormat="1" ht="25.4" hidden="1" customHeight="1">
      <c r="A57" s="3" t="s">
        <v>550</v>
      </c>
      <c r="B57" s="3" t="s">
        <v>1001</v>
      </c>
      <c r="D57" s="26" t="s">
        <v>551</v>
      </c>
      <c r="E57" s="63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9">
        <f>Q57/Summary!$Q$16</f>
        <v>0</v>
      </c>
      <c r="S57" s="35"/>
      <c r="T57" s="40">
        <f t="shared" si="3"/>
        <v>0</v>
      </c>
    </row>
    <row r="58" spans="1:20" s="3" customFormat="1" ht="25.4" hidden="1" customHeight="1">
      <c r="A58" s="3" t="s">
        <v>552</v>
      </c>
      <c r="B58" s="3" t="s">
        <v>1001</v>
      </c>
      <c r="D58" s="26" t="s">
        <v>553</v>
      </c>
      <c r="E58" s="63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9">
        <f>Q58/Summary!$Q$16</f>
        <v>0</v>
      </c>
      <c r="S58" s="35"/>
      <c r="T58" s="40">
        <f t="shared" si="3"/>
        <v>0</v>
      </c>
    </row>
    <row r="59" spans="1:20" s="3" customFormat="1" ht="25.4" hidden="1" customHeight="1">
      <c r="A59" s="3" t="s">
        <v>554</v>
      </c>
      <c r="B59" s="3" t="s">
        <v>1001</v>
      </c>
      <c r="D59" s="26" t="s">
        <v>555</v>
      </c>
      <c r="E59" s="63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9">
        <f>Q59/Summary!$Q$16</f>
        <v>0</v>
      </c>
      <c r="S59" s="35"/>
      <c r="T59" s="40">
        <f t="shared" si="3"/>
        <v>0</v>
      </c>
    </row>
    <row r="60" spans="1:20" s="3" customFormat="1" ht="25.4" hidden="1" customHeight="1">
      <c r="A60" s="3" t="s">
        <v>556</v>
      </c>
      <c r="B60" s="3" t="s">
        <v>1001</v>
      </c>
      <c r="D60" s="26" t="s">
        <v>557</v>
      </c>
      <c r="E60" s="63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9">
        <f>Q60/Summary!$Q$16</f>
        <v>0</v>
      </c>
      <c r="S60" s="35"/>
      <c r="T60" s="40">
        <f t="shared" si="3"/>
        <v>0</v>
      </c>
    </row>
    <row r="61" spans="1:20" s="3" customFormat="1" ht="25.4" hidden="1" customHeight="1">
      <c r="A61" s="3" t="s">
        <v>558</v>
      </c>
      <c r="B61" s="3" t="s">
        <v>1001</v>
      </c>
      <c r="D61" s="26" t="s">
        <v>559</v>
      </c>
      <c r="E61" s="63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9">
        <f>Q61/Summary!$Q$16</f>
        <v>0</v>
      </c>
      <c r="S61" s="35"/>
      <c r="T61" s="40">
        <f t="shared" si="3"/>
        <v>0</v>
      </c>
    </row>
    <row r="62" spans="1:20" s="3" customFormat="1" ht="25.4" hidden="1" customHeight="1">
      <c r="A62" s="3" t="s">
        <v>560</v>
      </c>
      <c r="B62" s="3" t="s">
        <v>1001</v>
      </c>
      <c r="D62" s="26" t="s">
        <v>561</v>
      </c>
      <c r="E62" s="63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R62" s="39">
        <f>Q62/Summary!$Q$16</f>
        <v>0</v>
      </c>
      <c r="S62" s="35"/>
      <c r="T62" s="40">
        <f t="shared" si="3"/>
        <v>0</v>
      </c>
    </row>
    <row r="63" spans="1:20" s="3" customFormat="1" ht="25.4" hidden="1" customHeight="1">
      <c r="A63" s="3" t="s">
        <v>562</v>
      </c>
      <c r="B63" s="3" t="s">
        <v>1001</v>
      </c>
      <c r="D63" s="26" t="s">
        <v>563</v>
      </c>
      <c r="E63" s="63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9">
        <f>Q63/Summary!$Q$16</f>
        <v>0</v>
      </c>
      <c r="S63" s="35"/>
      <c r="T63" s="40">
        <f t="shared" si="3"/>
        <v>0</v>
      </c>
    </row>
    <row r="64" spans="1:20" s="3" customFormat="1" ht="25.4" hidden="1" customHeight="1">
      <c r="A64" s="3" t="s">
        <v>564</v>
      </c>
      <c r="B64" s="3" t="s">
        <v>1001</v>
      </c>
      <c r="D64" s="26" t="s">
        <v>565</v>
      </c>
      <c r="E64" s="6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9">
        <f>Q64/Summary!$Q$16</f>
        <v>0</v>
      </c>
      <c r="S64" s="35"/>
      <c r="T64" s="40">
        <f t="shared" si="3"/>
        <v>0</v>
      </c>
    </row>
    <row r="65" spans="1:22" s="3" customFormat="1" ht="25.4" hidden="1" customHeight="1">
      <c r="A65" s="3" t="s">
        <v>566</v>
      </c>
      <c r="B65" s="3" t="s">
        <v>1001</v>
      </c>
      <c r="D65" s="26" t="s">
        <v>567</v>
      </c>
      <c r="E65" s="63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9">
        <f>Q65/Summary!$Q$16</f>
        <v>0</v>
      </c>
      <c r="S65" s="35"/>
      <c r="T65" s="40">
        <f t="shared" si="3"/>
        <v>0</v>
      </c>
    </row>
    <row r="66" spans="1:22" s="3" customFormat="1" ht="25.4" hidden="1" customHeight="1">
      <c r="A66" s="3" t="s">
        <v>568</v>
      </c>
      <c r="B66" s="3" t="s">
        <v>1001</v>
      </c>
      <c r="D66" s="26" t="s">
        <v>569</v>
      </c>
      <c r="E66" s="63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>
        <f t="shared" si="2"/>
        <v>0</v>
      </c>
      <c r="R66" s="39">
        <f>Q66/Summary!$Q$16</f>
        <v>0</v>
      </c>
      <c r="S66" s="35"/>
      <c r="T66" s="40">
        <f t="shared" si="3"/>
        <v>0</v>
      </c>
    </row>
    <row r="67" spans="1:22" s="3" customFormat="1" ht="25.4" customHeight="1">
      <c r="A67" s="3" t="s">
        <v>570</v>
      </c>
      <c r="B67" s="3" t="s">
        <v>1001</v>
      </c>
      <c r="D67" s="26" t="s">
        <v>571</v>
      </c>
      <c r="E67" s="63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9">
        <f>Q67/Summary!$Q$16</f>
        <v>0</v>
      </c>
      <c r="S67" s="35"/>
      <c r="T67" s="40">
        <f t="shared" si="3"/>
        <v>0</v>
      </c>
    </row>
    <row r="68" spans="1:22" s="3" customFormat="1" ht="25.4" customHeight="1">
      <c r="A68" s="3" t="s">
        <v>572</v>
      </c>
      <c r="B68" s="3" t="s">
        <v>1001</v>
      </c>
      <c r="D68" s="26" t="s">
        <v>573</v>
      </c>
      <c r="E68" s="63">
        <v>200</v>
      </c>
      <c r="F68" s="27">
        <v>200</v>
      </c>
      <c r="G68" s="27">
        <v>200</v>
      </c>
      <c r="H68" s="27">
        <v>200</v>
      </c>
      <c r="I68" s="27">
        <v>200</v>
      </c>
      <c r="J68" s="27">
        <v>200</v>
      </c>
      <c r="K68" s="27">
        <v>200</v>
      </c>
      <c r="L68" s="27">
        <v>200</v>
      </c>
      <c r="M68" s="27">
        <v>200</v>
      </c>
      <c r="N68" s="27">
        <v>200</v>
      </c>
      <c r="O68" s="27">
        <v>200</v>
      </c>
      <c r="P68" s="27">
        <v>200</v>
      </c>
      <c r="Q68" s="3">
        <f t="shared" si="2"/>
        <v>2400</v>
      </c>
      <c r="R68" s="39">
        <f>Q68/Summary!$Q$16</f>
        <v>3.0131737160133587E-5</v>
      </c>
      <c r="S68" s="35"/>
      <c r="T68" s="40" t="e">
        <f t="shared" si="3"/>
        <v>#DIV/0!</v>
      </c>
    </row>
    <row r="69" spans="1:22" s="3" customFormat="1" ht="25.4" customHeight="1">
      <c r="A69" s="3" t="s">
        <v>574</v>
      </c>
      <c r="B69" s="3" t="s">
        <v>1001</v>
      </c>
      <c r="D69" s="26" t="s">
        <v>1228</v>
      </c>
      <c r="E69" s="63">
        <v>880</v>
      </c>
      <c r="F69" s="27">
        <v>880</v>
      </c>
      <c r="G69" s="27">
        <v>880</v>
      </c>
      <c r="H69" s="27">
        <v>880</v>
      </c>
      <c r="I69" s="27">
        <v>880</v>
      </c>
      <c r="J69" s="27">
        <v>880</v>
      </c>
      <c r="K69" s="27">
        <v>880</v>
      </c>
      <c r="L69" s="27">
        <v>880</v>
      </c>
      <c r="M69" s="27">
        <v>880</v>
      </c>
      <c r="N69" s="27">
        <v>880</v>
      </c>
      <c r="O69" s="27">
        <v>880</v>
      </c>
      <c r="P69" s="27">
        <v>880</v>
      </c>
      <c r="Q69" s="3">
        <f t="shared" si="2"/>
        <v>10560</v>
      </c>
      <c r="R69" s="39">
        <f>Q69/Summary!$Q$16</f>
        <v>1.3257964350458777E-4</v>
      </c>
      <c r="S69" s="35"/>
      <c r="T69" s="40" t="e">
        <f t="shared" si="3"/>
        <v>#DIV/0!</v>
      </c>
      <c r="U69" s="3" t="s">
        <v>1237</v>
      </c>
      <c r="V69" s="3">
        <v>580</v>
      </c>
    </row>
    <row r="70" spans="1:22" s="3" customFormat="1" ht="25.4" customHeight="1">
      <c r="A70" s="3" t="s">
        <v>576</v>
      </c>
      <c r="B70" s="3" t="s">
        <v>1001</v>
      </c>
      <c r="D70" s="26" t="s">
        <v>1234</v>
      </c>
      <c r="E70" s="63">
        <v>4092.2000000000012</v>
      </c>
      <c r="F70" s="27">
        <v>3598.4199999999983</v>
      </c>
      <c r="G70" s="27">
        <v>3505.7399999999993</v>
      </c>
      <c r="H70" s="27">
        <v>3594.6400000000012</v>
      </c>
      <c r="I70" s="27">
        <v>3539.8999999999992</v>
      </c>
      <c r="J70" s="27">
        <v>3260.3200000000011</v>
      </c>
      <c r="K70" s="27">
        <v>3168.6199999999994</v>
      </c>
      <c r="L70" s="27">
        <v>3179.8200000000011</v>
      </c>
      <c r="M70" s="27">
        <v>3245.06</v>
      </c>
      <c r="N70" s="27">
        <v>3510.22</v>
      </c>
      <c r="O70" s="27">
        <v>3145.94</v>
      </c>
      <c r="P70" s="27">
        <v>3113.6000000000008</v>
      </c>
      <c r="Q70" s="3">
        <f t="shared" si="2"/>
        <v>40954.479999999996</v>
      </c>
      <c r="R70" s="39">
        <f>Q70/Summary!$Q$16</f>
        <v>5.1417901120414484E-4</v>
      </c>
      <c r="S70" s="35"/>
      <c r="T70" s="40" t="e">
        <f t="shared" si="3"/>
        <v>#DIV/0!</v>
      </c>
      <c r="U70" s="3">
        <f>+Q70/Q197/12</f>
        <v>243.77666666666664</v>
      </c>
    </row>
    <row r="71" spans="1:22" s="3" customFormat="1" ht="25.4" customHeight="1">
      <c r="A71" s="3" t="s">
        <v>578</v>
      </c>
      <c r="B71" s="3" t="s">
        <v>1001</v>
      </c>
      <c r="D71" s="26" t="s">
        <v>579</v>
      </c>
      <c r="E71" s="63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9">
        <f>Q71/Summary!$Q$16</f>
        <v>0</v>
      </c>
      <c r="S71" s="35"/>
      <c r="T71" s="40"/>
    </row>
    <row r="72" spans="1:22" s="3" customFormat="1" ht="25.4" customHeight="1">
      <c r="A72" s="3" t="s">
        <v>580</v>
      </c>
      <c r="B72" s="3" t="s">
        <v>1001</v>
      </c>
      <c r="D72" s="26" t="s">
        <v>1172</v>
      </c>
      <c r="E72" s="63">
        <v>200</v>
      </c>
      <c r="F72" s="27">
        <v>200</v>
      </c>
      <c r="G72" s="27">
        <v>200</v>
      </c>
      <c r="H72" s="27">
        <v>200</v>
      </c>
      <c r="I72" s="27">
        <v>200</v>
      </c>
      <c r="J72" s="27">
        <v>200</v>
      </c>
      <c r="K72" s="27">
        <v>200</v>
      </c>
      <c r="L72" s="27">
        <v>200</v>
      </c>
      <c r="M72" s="27">
        <v>200</v>
      </c>
      <c r="N72" s="27">
        <v>200</v>
      </c>
      <c r="O72" s="27">
        <v>200</v>
      </c>
      <c r="P72" s="27">
        <v>200</v>
      </c>
      <c r="Q72" s="3">
        <f t="shared" si="2"/>
        <v>2400</v>
      </c>
      <c r="R72" s="39">
        <f>Q72/Summary!$Q$16</f>
        <v>3.0131737160133587E-5</v>
      </c>
      <c r="S72" s="35"/>
      <c r="T72" s="40" t="e">
        <f t="shared" ref="T72:T85" si="5">-IF(Q72-S72=0,0,(Q72-S72)/S72)</f>
        <v>#DIV/0!</v>
      </c>
      <c r="U72" s="3" t="s">
        <v>1225</v>
      </c>
      <c r="V72" s="3">
        <v>100</v>
      </c>
    </row>
    <row r="73" spans="1:22" s="3" customFormat="1" ht="25.4" customHeight="1">
      <c r="A73" s="3" t="s">
        <v>582</v>
      </c>
      <c r="B73" s="3" t="s">
        <v>1001</v>
      </c>
      <c r="D73" s="26" t="s">
        <v>583</v>
      </c>
      <c r="E73" s="63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9">
        <f>Q73/Summary!$Q$16</f>
        <v>0</v>
      </c>
      <c r="S73" s="35"/>
      <c r="T73" s="40">
        <f t="shared" si="5"/>
        <v>0</v>
      </c>
    </row>
    <row r="74" spans="1:22" s="3" customFormat="1" ht="25.4" customHeight="1">
      <c r="A74" s="3" t="s">
        <v>584</v>
      </c>
      <c r="B74" s="3" t="s">
        <v>1001</v>
      </c>
      <c r="D74" s="26" t="s">
        <v>585</v>
      </c>
      <c r="E74" s="63">
        <v>300</v>
      </c>
      <c r="F74" s="27">
        <v>300</v>
      </c>
      <c r="G74" s="27">
        <v>300</v>
      </c>
      <c r="H74" s="27">
        <v>300</v>
      </c>
      <c r="I74" s="27">
        <v>300</v>
      </c>
      <c r="J74" s="27">
        <v>300</v>
      </c>
      <c r="K74" s="27">
        <v>300</v>
      </c>
      <c r="L74" s="27">
        <v>300</v>
      </c>
      <c r="M74" s="27">
        <v>300</v>
      </c>
      <c r="N74" s="27">
        <v>300</v>
      </c>
      <c r="O74" s="27">
        <v>300</v>
      </c>
      <c r="P74" s="27">
        <v>300</v>
      </c>
      <c r="Q74" s="3">
        <f t="shared" si="2"/>
        <v>3600</v>
      </c>
      <c r="R74" s="39">
        <f>Q74/Summary!$Q$16</f>
        <v>4.5197605740200377E-5</v>
      </c>
      <c r="S74" s="35"/>
      <c r="T74" s="40" t="e">
        <f t="shared" si="5"/>
        <v>#DIV/0!</v>
      </c>
    </row>
    <row r="75" spans="1:22" s="306" customFormat="1" ht="25.4" customHeight="1">
      <c r="A75" s="306" t="s">
        <v>586</v>
      </c>
      <c r="B75" s="306" t="s">
        <v>1001</v>
      </c>
      <c r="D75" s="26" t="s">
        <v>1210</v>
      </c>
      <c r="E75" s="63"/>
      <c r="F75" s="27"/>
      <c r="G75" s="27"/>
      <c r="H75" s="27"/>
      <c r="I75" s="27"/>
      <c r="J75" s="27"/>
      <c r="K75" s="27">
        <v>10000</v>
      </c>
      <c r="L75" s="27"/>
      <c r="M75" s="27"/>
      <c r="N75" s="27"/>
      <c r="O75" s="27"/>
      <c r="P75" s="27"/>
      <c r="Q75" s="3">
        <f t="shared" si="2"/>
        <v>10000</v>
      </c>
      <c r="R75" s="39">
        <f>Q75/Summary!$Q$16</f>
        <v>1.2554890483388995E-4</v>
      </c>
      <c r="S75" s="35"/>
      <c r="T75" s="40" t="e">
        <f t="shared" si="5"/>
        <v>#DIV/0!</v>
      </c>
      <c r="U75" s="3" t="s">
        <v>1209</v>
      </c>
      <c r="V75" s="3"/>
    </row>
    <row r="76" spans="1:22" s="3" customFormat="1" ht="25.4" customHeight="1">
      <c r="A76" s="3" t="s">
        <v>588</v>
      </c>
      <c r="B76" s="3" t="s">
        <v>1001</v>
      </c>
      <c r="D76" s="26" t="s">
        <v>589</v>
      </c>
      <c r="E76" s="63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9">
        <f>Q76/Summary!$Q$16</f>
        <v>0</v>
      </c>
      <c r="S76" s="35"/>
      <c r="T76" s="40">
        <f t="shared" si="5"/>
        <v>0</v>
      </c>
    </row>
    <row r="77" spans="1:22" s="3" customFormat="1" ht="25.4" customHeight="1">
      <c r="A77" s="3" t="s">
        <v>590</v>
      </c>
      <c r="B77" s="3" t="s">
        <v>1001</v>
      </c>
      <c r="D77" s="26" t="s">
        <v>591</v>
      </c>
      <c r="E77" s="63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>
        <f t="shared" si="2"/>
        <v>0</v>
      </c>
      <c r="R77" s="39">
        <f>Q77/Summary!$Q$16</f>
        <v>0</v>
      </c>
      <c r="S77" s="35"/>
      <c r="T77" s="40">
        <f t="shared" si="5"/>
        <v>0</v>
      </c>
    </row>
    <row r="78" spans="1:22" s="3" customFormat="1" ht="25.4" customHeight="1">
      <c r="A78" s="253" t="s">
        <v>846</v>
      </c>
      <c r="B78" s="3" t="s">
        <v>1001</v>
      </c>
      <c r="D78" s="26" t="s">
        <v>1002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3">
        <f t="shared" si="2"/>
        <v>0</v>
      </c>
      <c r="R78" s="39">
        <f>Q78/Summary!$Q$16</f>
        <v>0</v>
      </c>
      <c r="S78" s="35"/>
      <c r="T78" s="40">
        <f t="shared" si="5"/>
        <v>0</v>
      </c>
    </row>
    <row r="79" spans="1:22" s="3" customFormat="1" ht="25.4" customHeight="1">
      <c r="A79" s="3" t="s">
        <v>592</v>
      </c>
      <c r="B79" s="3" t="s">
        <v>1001</v>
      </c>
      <c r="D79" s="26" t="s">
        <v>593</v>
      </c>
      <c r="E79" s="63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">
        <f t="shared" si="2"/>
        <v>0</v>
      </c>
      <c r="R79" s="39">
        <f>Q79/Summary!$Q$16</f>
        <v>0</v>
      </c>
      <c r="S79" s="35"/>
      <c r="T79" s="40">
        <f t="shared" si="5"/>
        <v>0</v>
      </c>
    </row>
    <row r="80" spans="1:22" s="3" customFormat="1" ht="25.4" customHeight="1">
      <c r="A80" s="3" t="s">
        <v>848</v>
      </c>
      <c r="B80" s="3" t="s">
        <v>1001</v>
      </c>
      <c r="D80" s="26" t="s">
        <v>849</v>
      </c>
      <c r="E80" s="63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143" si="6">SUM(E80:P80)</f>
        <v>0</v>
      </c>
      <c r="R80" s="39">
        <f>Q80/Summary!$Q$16</f>
        <v>0</v>
      </c>
      <c r="S80" s="35"/>
      <c r="T80" s="40">
        <f t="shared" si="5"/>
        <v>0</v>
      </c>
    </row>
    <row r="81" spans="1:21" s="3" customFormat="1" ht="25.4" customHeight="1">
      <c r="A81" s="3" t="s">
        <v>850</v>
      </c>
      <c r="B81" s="3" t="s">
        <v>1001</v>
      </c>
      <c r="D81" s="26" t="s">
        <v>851</v>
      </c>
      <c r="E81" s="63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>
        <f t="shared" si="6"/>
        <v>0</v>
      </c>
      <c r="R81" s="39">
        <f>Q81/Summary!$Q$16</f>
        <v>0</v>
      </c>
      <c r="S81" s="35"/>
      <c r="T81" s="40">
        <f t="shared" si="5"/>
        <v>0</v>
      </c>
    </row>
    <row r="82" spans="1:21" s="306" customFormat="1" ht="25.4" customHeight="1">
      <c r="A82" s="306" t="s">
        <v>852</v>
      </c>
      <c r="B82" s="306" t="s">
        <v>1001</v>
      </c>
      <c r="D82" s="26" t="s">
        <v>1211</v>
      </c>
      <c r="E82" s="63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6"/>
        <v>0</v>
      </c>
      <c r="R82" s="39">
        <f>Q82/Summary!$Q$16</f>
        <v>0</v>
      </c>
      <c r="S82" s="35"/>
      <c r="T82" s="40">
        <f t="shared" si="5"/>
        <v>0</v>
      </c>
      <c r="U82" s="3" t="s">
        <v>1171</v>
      </c>
    </row>
    <row r="83" spans="1:21" s="3" customFormat="1" ht="25.4" customHeight="1">
      <c r="A83" s="3" t="s">
        <v>854</v>
      </c>
      <c r="B83" s="3" t="s">
        <v>1001</v>
      </c>
      <c r="D83" s="26" t="s">
        <v>855</v>
      </c>
      <c r="E83" s="63"/>
      <c r="F83" s="63"/>
      <c r="G83" s="63"/>
      <c r="H83" s="63"/>
      <c r="I83" s="63"/>
      <c r="J83" s="63"/>
      <c r="K83" s="63"/>
      <c r="L83" s="63"/>
      <c r="M83" s="63"/>
      <c r="N83" s="63">
        <v>10000</v>
      </c>
      <c r="O83" s="63"/>
      <c r="P83" s="63"/>
      <c r="Q83" s="3">
        <f t="shared" si="6"/>
        <v>10000</v>
      </c>
      <c r="R83" s="39">
        <f>Q83/Summary!$Q$16</f>
        <v>1.2554890483388995E-4</v>
      </c>
      <c r="S83" s="35"/>
      <c r="T83" s="40" t="e">
        <f t="shared" si="5"/>
        <v>#DIV/0!</v>
      </c>
    </row>
    <row r="84" spans="1:21" s="3" customFormat="1" ht="25.4" customHeight="1">
      <c r="A84" s="3" t="s">
        <v>856</v>
      </c>
      <c r="B84" s="3" t="s">
        <v>1001</v>
      </c>
      <c r="D84" s="26" t="s">
        <v>857</v>
      </c>
      <c r="E84" s="63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3">
        <f t="shared" si="6"/>
        <v>0</v>
      </c>
      <c r="R84" s="39">
        <f>Q84/Summary!$Q$16</f>
        <v>0</v>
      </c>
      <c r="S84" s="35"/>
      <c r="T84" s="40">
        <f t="shared" si="5"/>
        <v>0</v>
      </c>
    </row>
    <row r="85" spans="1:21" s="3" customFormat="1" ht="25.4" customHeight="1">
      <c r="A85" s="3" t="s">
        <v>858</v>
      </c>
      <c r="B85" s="3" t="s">
        <v>1001</v>
      </c>
      <c r="D85" s="26" t="s">
        <v>859</v>
      </c>
      <c r="E85" s="63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3">
        <f t="shared" si="6"/>
        <v>0</v>
      </c>
      <c r="R85" s="39">
        <f>Q85/Summary!$Q$16</f>
        <v>0</v>
      </c>
      <c r="S85" s="35"/>
      <c r="T85" s="40">
        <f t="shared" si="5"/>
        <v>0</v>
      </c>
    </row>
    <row r="86" spans="1:21" s="3" customFormat="1" ht="25.4" customHeight="1">
      <c r="A86" s="3" t="s">
        <v>860</v>
      </c>
      <c r="B86" s="3" t="s">
        <v>1001</v>
      </c>
      <c r="D86" s="26" t="s">
        <v>861</v>
      </c>
      <c r="E86" s="63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>
        <f t="shared" si="6"/>
        <v>0</v>
      </c>
      <c r="R86" s="39">
        <f>Q86/Summary!$Q$16</f>
        <v>0</v>
      </c>
      <c r="S86" s="35"/>
      <c r="T86" s="40"/>
    </row>
    <row r="87" spans="1:21" s="3" customFormat="1" ht="25.4" customHeight="1">
      <c r="A87" s="3" t="s">
        <v>862</v>
      </c>
      <c r="B87" s="3" t="s">
        <v>1001</v>
      </c>
      <c r="D87" s="26" t="s">
        <v>1173</v>
      </c>
      <c r="E87" s="63">
        <f>0.0025*Summary!E16*80%</f>
        <v>12276.722400000001</v>
      </c>
      <c r="F87" s="63">
        <f>0.0025*Summary!F16*80%</f>
        <v>15715.355000000003</v>
      </c>
      <c r="G87" s="63">
        <f>0.0025*Summary!G16*80%</f>
        <v>11013.2552</v>
      </c>
      <c r="H87" s="63">
        <f>0.0025*Summary!H16*80%</f>
        <v>10407.354800000001</v>
      </c>
      <c r="I87" s="63">
        <f>0.0025*Summary!I16*80%</f>
        <v>13558.243800000004</v>
      </c>
      <c r="J87" s="63">
        <f>0.0025*Summary!J16*80%</f>
        <v>10872.851000000002</v>
      </c>
      <c r="K87" s="63">
        <f>0.0025*Summary!K16*80%</f>
        <v>14742.135199999999</v>
      </c>
      <c r="L87" s="63">
        <f>0.0025*Summary!L16*80%</f>
        <v>15172.881200000002</v>
      </c>
      <c r="M87" s="63">
        <f>0.0025*Summary!M16*80%</f>
        <v>9800.3380000000016</v>
      </c>
      <c r="N87" s="63">
        <f>0.0025*Summary!N16*80%</f>
        <v>16590.075400000002</v>
      </c>
      <c r="O87" s="63">
        <f>0.0025*Summary!O16*80%</f>
        <v>14082.384400000003</v>
      </c>
      <c r="P87" s="63">
        <f>0.0025*Summary!P16*80%</f>
        <v>15068.877200000001</v>
      </c>
      <c r="Q87" s="3">
        <f t="shared" si="6"/>
        <v>159300.47360000003</v>
      </c>
      <c r="R87" s="39">
        <f>Q87/Summary!$Q$16</f>
        <v>2E-3</v>
      </c>
      <c r="S87" s="35"/>
      <c r="T87" s="40" t="e">
        <f>-IF(Q87-S87=0,0,(Q87-S87)/S87)</f>
        <v>#DIV/0!</v>
      </c>
    </row>
    <row r="88" spans="1:21" s="3" customFormat="1" ht="24.75" hidden="1" customHeight="1">
      <c r="A88" s="3" t="s">
        <v>864</v>
      </c>
      <c r="B88" s="3" t="s">
        <v>1001</v>
      </c>
      <c r="D88" s="26" t="s">
        <v>865</v>
      </c>
      <c r="E88" s="63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>
        <f t="shared" si="6"/>
        <v>0</v>
      </c>
      <c r="R88" s="39">
        <f>Q88/Summary!$Q$16</f>
        <v>0</v>
      </c>
      <c r="S88" s="35"/>
      <c r="T88" s="40">
        <f>-IF(Q88-S88=0,0,(Q88-S88)/S88)</f>
        <v>0</v>
      </c>
    </row>
    <row r="89" spans="1:21" s="3" customFormat="1" ht="25.4" hidden="1" customHeight="1">
      <c r="A89" s="3" t="s">
        <v>270</v>
      </c>
      <c r="B89" s="3" t="s">
        <v>1001</v>
      </c>
      <c r="D89" s="26" t="s">
        <v>594</v>
      </c>
      <c r="E89" s="63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>
        <f t="shared" si="6"/>
        <v>0</v>
      </c>
      <c r="R89" s="39">
        <f>Q89/Summary!$Q$16</f>
        <v>0</v>
      </c>
      <c r="S89" s="35"/>
      <c r="T89" s="40">
        <f>-IF(Q89-S89=0,0,(Q89-S89)/S89)</f>
        <v>0</v>
      </c>
    </row>
    <row r="90" spans="1:21" s="3" customFormat="1" ht="25.4" customHeight="1">
      <c r="A90" s="3" t="s">
        <v>866</v>
      </c>
      <c r="B90" s="3" t="s">
        <v>1001</v>
      </c>
      <c r="D90" s="26" t="s">
        <v>867</v>
      </c>
      <c r="E90" s="63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3">
        <f t="shared" si="6"/>
        <v>0</v>
      </c>
      <c r="R90" s="39">
        <f>Q90/Summary!$Q$16</f>
        <v>0</v>
      </c>
      <c r="S90" s="35"/>
      <c r="T90" s="40">
        <f>-IF(Q90-S90=0,0,(Q90-S90)/S90)</f>
        <v>0</v>
      </c>
    </row>
    <row r="91" spans="1:21" s="3" customFormat="1" ht="25.4" customHeight="1">
      <c r="A91" s="3" t="s">
        <v>272</v>
      </c>
      <c r="B91" s="3" t="s">
        <v>1001</v>
      </c>
      <c r="D91" s="26" t="s">
        <v>273</v>
      </c>
      <c r="E91" s="63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>
        <f t="shared" si="6"/>
        <v>0</v>
      </c>
      <c r="R91" s="39">
        <f>Q91/Summary!$Q$16</f>
        <v>0</v>
      </c>
      <c r="S91" s="35"/>
      <c r="T91" s="40">
        <f>-IF(Q91-S91=0,0,(Q91-S91)/S91)</f>
        <v>0</v>
      </c>
    </row>
    <row r="92" spans="1:21" s="3" customFormat="1" ht="25.4" customHeight="1">
      <c r="A92" s="3" t="s">
        <v>868</v>
      </c>
      <c r="B92" s="3" t="s">
        <v>1001</v>
      </c>
      <c r="D92" s="26" t="s">
        <v>869</v>
      </c>
      <c r="E92" s="63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>
        <f t="shared" si="6"/>
        <v>0</v>
      </c>
      <c r="R92" s="39">
        <f>Q92/Summary!$Q$16</f>
        <v>0</v>
      </c>
      <c r="S92" s="35"/>
      <c r="T92" s="40"/>
    </row>
    <row r="93" spans="1:21" s="306" customFormat="1" ht="25.4" customHeight="1">
      <c r="A93" s="306" t="s">
        <v>870</v>
      </c>
      <c r="B93" s="306" t="s">
        <v>1001</v>
      </c>
      <c r="D93" s="26" t="s">
        <v>1212</v>
      </c>
      <c r="E93" s="63">
        <v>500</v>
      </c>
      <c r="F93" s="63">
        <v>500</v>
      </c>
      <c r="G93" s="63">
        <v>500</v>
      </c>
      <c r="H93" s="63">
        <v>500</v>
      </c>
      <c r="I93" s="63">
        <v>500</v>
      </c>
      <c r="J93" s="63">
        <v>500</v>
      </c>
      <c r="K93" s="63">
        <v>500</v>
      </c>
      <c r="L93" s="63">
        <v>500</v>
      </c>
      <c r="M93" s="63">
        <v>500</v>
      </c>
      <c r="N93" s="63">
        <v>500</v>
      </c>
      <c r="O93" s="63">
        <v>500</v>
      </c>
      <c r="P93" s="63">
        <v>500</v>
      </c>
      <c r="Q93" s="3">
        <f t="shared" si="6"/>
        <v>6000</v>
      </c>
      <c r="R93" s="39">
        <f>Q93/Summary!$Q$16</f>
        <v>7.5329342900333965E-5</v>
      </c>
      <c r="S93" s="35"/>
      <c r="T93" s="40" t="e">
        <f t="shared" ref="T93:T124" si="7">-IF(Q93-S93=0,0,(Q93-S93)/S93)</f>
        <v>#DIV/0!</v>
      </c>
      <c r="U93" s="3"/>
    </row>
    <row r="94" spans="1:21" s="3" customFormat="1" ht="25.4" hidden="1" customHeight="1">
      <c r="A94" s="3" t="s">
        <v>872</v>
      </c>
      <c r="B94" s="3" t="s">
        <v>1001</v>
      </c>
      <c r="D94" s="26" t="s">
        <v>873</v>
      </c>
      <c r="E94" s="63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">
        <f t="shared" si="6"/>
        <v>0</v>
      </c>
      <c r="R94" s="39">
        <f>Q94/Summary!$Q$16</f>
        <v>0</v>
      </c>
      <c r="S94" s="35"/>
      <c r="T94" s="40">
        <f t="shared" si="7"/>
        <v>0</v>
      </c>
    </row>
    <row r="95" spans="1:21" s="3" customFormat="1" ht="25.4" hidden="1" customHeight="1">
      <c r="A95" s="3" t="s">
        <v>874</v>
      </c>
      <c r="B95" s="3" t="s">
        <v>1001</v>
      </c>
      <c r="D95" s="26" t="s">
        <v>875</v>
      </c>
      <c r="E95" s="63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si="6"/>
        <v>0</v>
      </c>
      <c r="R95" s="39">
        <f>Q95/Summary!$Q$16</f>
        <v>0</v>
      </c>
      <c r="S95" s="35"/>
      <c r="T95" s="40">
        <f t="shared" si="7"/>
        <v>0</v>
      </c>
    </row>
    <row r="96" spans="1:21" s="3" customFormat="1" ht="25.4" hidden="1" customHeight="1">
      <c r="A96" s="3" t="s">
        <v>876</v>
      </c>
      <c r="B96" s="3" t="s">
        <v>1001</v>
      </c>
      <c r="D96" s="26" t="s">
        <v>877</v>
      </c>
      <c r="E96" s="63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6"/>
        <v>0</v>
      </c>
      <c r="R96" s="39">
        <f>Q96/Summary!$Q$16</f>
        <v>0</v>
      </c>
      <c r="S96" s="35"/>
      <c r="T96" s="40">
        <f t="shared" si="7"/>
        <v>0</v>
      </c>
    </row>
    <row r="97" spans="1:20" s="3" customFormat="1" ht="25.4" hidden="1" customHeight="1">
      <c r="A97" s="3" t="s">
        <v>878</v>
      </c>
      <c r="B97" s="3" t="s">
        <v>1001</v>
      </c>
      <c r="D97" s="26" t="s">
        <v>879</v>
      </c>
      <c r="E97" s="63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6"/>
        <v>0</v>
      </c>
      <c r="R97" s="39">
        <f>Q97/Summary!$Q$16</f>
        <v>0</v>
      </c>
      <c r="S97" s="35"/>
      <c r="T97" s="40">
        <f t="shared" si="7"/>
        <v>0</v>
      </c>
    </row>
    <row r="98" spans="1:20" s="3" customFormat="1" ht="25.4" hidden="1" customHeight="1">
      <c r="A98" s="3" t="s">
        <v>880</v>
      </c>
      <c r="B98" s="3" t="s">
        <v>1001</v>
      </c>
      <c r="D98" s="26" t="s">
        <v>881</v>
      </c>
      <c r="E98" s="63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6"/>
        <v>0</v>
      </c>
      <c r="R98" s="39">
        <f>Q98/Summary!$Q$16</f>
        <v>0</v>
      </c>
      <c r="S98" s="35"/>
      <c r="T98" s="40">
        <f t="shared" si="7"/>
        <v>0</v>
      </c>
    </row>
    <row r="99" spans="1:20" s="3" customFormat="1" ht="25.4" hidden="1" customHeight="1">
      <c r="A99" s="3" t="s">
        <v>882</v>
      </c>
      <c r="B99" s="3" t="s">
        <v>1001</v>
      </c>
      <c r="D99" s="26" t="s">
        <v>883</v>
      </c>
      <c r="E99" s="63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6"/>
        <v>0</v>
      </c>
      <c r="R99" s="39">
        <f>Q99/Summary!$Q$16</f>
        <v>0</v>
      </c>
      <c r="S99" s="35"/>
      <c r="T99" s="40">
        <f t="shared" si="7"/>
        <v>0</v>
      </c>
    </row>
    <row r="100" spans="1:20" s="3" customFormat="1" ht="24.75" hidden="1" customHeight="1">
      <c r="A100" s="3" t="s">
        <v>884</v>
      </c>
      <c r="B100" s="3" t="s">
        <v>1001</v>
      </c>
      <c r="D100" s="26" t="s">
        <v>885</v>
      </c>
      <c r="E100" s="63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>
        <f t="shared" si="6"/>
        <v>0</v>
      </c>
      <c r="R100" s="39">
        <f>Q100/Summary!$Q$16</f>
        <v>0</v>
      </c>
      <c r="S100" s="35"/>
      <c r="T100" s="40">
        <f t="shared" si="7"/>
        <v>0</v>
      </c>
    </row>
    <row r="101" spans="1:20" s="3" customFormat="1" ht="25.4" hidden="1" customHeight="1">
      <c r="A101" s="3" t="s">
        <v>886</v>
      </c>
      <c r="B101" s="3" t="s">
        <v>1001</v>
      </c>
      <c r="D101" s="26" t="s">
        <v>887</v>
      </c>
      <c r="E101" s="63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>
        <f t="shared" si="6"/>
        <v>0</v>
      </c>
      <c r="R101" s="39">
        <f>Q101/Summary!$Q$16</f>
        <v>0</v>
      </c>
      <c r="S101" s="35"/>
      <c r="T101" s="40">
        <f t="shared" si="7"/>
        <v>0</v>
      </c>
    </row>
    <row r="102" spans="1:20" s="3" customFormat="1" ht="25.4" hidden="1" customHeight="1">
      <c r="A102" s="3" t="s">
        <v>888</v>
      </c>
      <c r="B102" s="3" t="s">
        <v>1001</v>
      </c>
      <c r="D102" s="26" t="s">
        <v>889</v>
      </c>
      <c r="E102" s="63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>
        <f t="shared" si="6"/>
        <v>0</v>
      </c>
      <c r="R102" s="39">
        <f>Q102/Summary!$Q$16</f>
        <v>0</v>
      </c>
      <c r="S102" s="35"/>
      <c r="T102" s="40">
        <f t="shared" si="7"/>
        <v>0</v>
      </c>
    </row>
    <row r="103" spans="1:20" s="3" customFormat="1" ht="25.4" hidden="1" customHeight="1">
      <c r="A103" s="3" t="s">
        <v>890</v>
      </c>
      <c r="B103" s="3" t="s">
        <v>1001</v>
      </c>
      <c r="D103" s="26" t="s">
        <v>891</v>
      </c>
      <c r="E103" s="63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>
        <f t="shared" si="6"/>
        <v>0</v>
      </c>
      <c r="R103" s="39">
        <f>Q103/Summary!$Q$16</f>
        <v>0</v>
      </c>
      <c r="S103" s="35"/>
      <c r="T103" s="40">
        <f t="shared" si="7"/>
        <v>0</v>
      </c>
    </row>
    <row r="104" spans="1:20" s="3" customFormat="1" ht="25.4" hidden="1" customHeight="1">
      <c r="A104" s="3" t="s">
        <v>892</v>
      </c>
      <c r="B104" s="3" t="s">
        <v>1001</v>
      </c>
      <c r="D104" s="26" t="s">
        <v>893</v>
      </c>
      <c r="E104" s="63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>
        <f t="shared" si="6"/>
        <v>0</v>
      </c>
      <c r="R104" s="39">
        <f>Q104/Summary!$Q$16</f>
        <v>0</v>
      </c>
      <c r="S104" s="35"/>
      <c r="T104" s="40">
        <f t="shared" si="7"/>
        <v>0</v>
      </c>
    </row>
    <row r="105" spans="1:20" s="3" customFormat="1" ht="25.4" hidden="1" customHeight="1">
      <c r="A105" s="3" t="s">
        <v>894</v>
      </c>
      <c r="B105" s="3" t="s">
        <v>1001</v>
      </c>
      <c r="D105" s="26" t="s">
        <v>895</v>
      </c>
      <c r="E105" s="63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si="6"/>
        <v>0</v>
      </c>
      <c r="R105" s="39">
        <f>Q105/Summary!$Q$16</f>
        <v>0</v>
      </c>
      <c r="S105" s="35"/>
      <c r="T105" s="40">
        <f t="shared" si="7"/>
        <v>0</v>
      </c>
    </row>
    <row r="106" spans="1:20" s="3" customFormat="1" ht="25.4" hidden="1" customHeight="1">
      <c r="A106" s="3" t="s">
        <v>896</v>
      </c>
      <c r="B106" s="3" t="s">
        <v>1001</v>
      </c>
      <c r="D106" s="26" t="s">
        <v>897</v>
      </c>
      <c r="E106" s="63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6"/>
        <v>0</v>
      </c>
      <c r="R106" s="39">
        <f>Q106/Summary!$Q$16</f>
        <v>0</v>
      </c>
      <c r="S106" s="35"/>
      <c r="T106" s="40">
        <f t="shared" si="7"/>
        <v>0</v>
      </c>
    </row>
    <row r="107" spans="1:20" s="3" customFormat="1" ht="25.4" hidden="1" customHeight="1">
      <c r="A107" s="3" t="s">
        <v>898</v>
      </c>
      <c r="B107" s="3" t="s">
        <v>1001</v>
      </c>
      <c r="D107" s="26" t="s">
        <v>899</v>
      </c>
      <c r="E107" s="63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6"/>
        <v>0</v>
      </c>
      <c r="R107" s="39">
        <f>Q107/Summary!$Q$16</f>
        <v>0</v>
      </c>
      <c r="S107" s="35"/>
      <c r="T107" s="40">
        <f t="shared" si="7"/>
        <v>0</v>
      </c>
    </row>
    <row r="108" spans="1:20" s="3" customFormat="1" ht="25.4" hidden="1" customHeight="1">
      <c r="A108" s="3" t="s">
        <v>900</v>
      </c>
      <c r="B108" s="3" t="s">
        <v>1001</v>
      </c>
      <c r="D108" s="26" t="s">
        <v>901</v>
      </c>
      <c r="E108" s="63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6"/>
        <v>0</v>
      </c>
      <c r="R108" s="39">
        <f>Q108/Summary!$Q$16</f>
        <v>0</v>
      </c>
      <c r="S108" s="35"/>
      <c r="T108" s="40">
        <f t="shared" si="7"/>
        <v>0</v>
      </c>
    </row>
    <row r="109" spans="1:20" s="3" customFormat="1" ht="25.4" hidden="1" customHeight="1">
      <c r="A109" s="3" t="s">
        <v>902</v>
      </c>
      <c r="B109" s="3" t="s">
        <v>1001</v>
      </c>
      <c r="D109" s="26" t="s">
        <v>903</v>
      </c>
      <c r="E109" s="63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6"/>
        <v>0</v>
      </c>
      <c r="R109" s="39">
        <f>Q109/Summary!$Q$16</f>
        <v>0</v>
      </c>
      <c r="S109" s="35"/>
      <c r="T109" s="40">
        <f t="shared" si="7"/>
        <v>0</v>
      </c>
    </row>
    <row r="110" spans="1:20" s="3" customFormat="1" ht="25.4" hidden="1" customHeight="1">
      <c r="A110" s="3" t="s">
        <v>904</v>
      </c>
      <c r="B110" s="3" t="s">
        <v>1001</v>
      </c>
      <c r="D110" s="26" t="s">
        <v>905</v>
      </c>
      <c r="E110" s="63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6"/>
        <v>0</v>
      </c>
      <c r="R110" s="39">
        <f>Q110/Summary!$Q$16</f>
        <v>0</v>
      </c>
      <c r="S110" s="35"/>
      <c r="T110" s="40">
        <f t="shared" si="7"/>
        <v>0</v>
      </c>
    </row>
    <row r="111" spans="1:20" s="3" customFormat="1" ht="25.4" hidden="1" customHeight="1">
      <c r="A111" s="3" t="s">
        <v>906</v>
      </c>
      <c r="B111" s="3" t="s">
        <v>1001</v>
      </c>
      <c r="D111" s="26" t="s">
        <v>907</v>
      </c>
      <c r="E111" s="63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6"/>
        <v>0</v>
      </c>
      <c r="R111" s="39">
        <f>Q111/Summary!$Q$16</f>
        <v>0</v>
      </c>
      <c r="S111" s="35"/>
      <c r="T111" s="40">
        <f t="shared" si="7"/>
        <v>0</v>
      </c>
    </row>
    <row r="112" spans="1:20" s="3" customFormat="1" ht="25.4" hidden="1" customHeight="1">
      <c r="A112" s="3" t="s">
        <v>908</v>
      </c>
      <c r="B112" s="3" t="s">
        <v>1001</v>
      </c>
      <c r="D112" s="26" t="s">
        <v>909</v>
      </c>
      <c r="E112" s="63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 t="shared" si="6"/>
        <v>0</v>
      </c>
      <c r="R112" s="39">
        <f>Q112/Summary!$Q$16</f>
        <v>0</v>
      </c>
      <c r="S112" s="35"/>
      <c r="T112" s="40">
        <f t="shared" si="7"/>
        <v>0</v>
      </c>
    </row>
    <row r="113" spans="1:20" s="3" customFormat="1" ht="25.4" hidden="1" customHeight="1">
      <c r="A113" s="3" t="s">
        <v>910</v>
      </c>
      <c r="B113" s="3" t="s">
        <v>1001</v>
      </c>
      <c r="D113" s="26" t="s">
        <v>911</v>
      </c>
      <c r="E113" s="63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si="6"/>
        <v>0</v>
      </c>
      <c r="R113" s="39">
        <f>Q113/Summary!$Q$16</f>
        <v>0</v>
      </c>
      <c r="S113" s="35"/>
      <c r="T113" s="40">
        <f t="shared" si="7"/>
        <v>0</v>
      </c>
    </row>
    <row r="114" spans="1:20" s="3" customFormat="1" ht="25.4" hidden="1" customHeight="1">
      <c r="A114" s="3" t="s">
        <v>912</v>
      </c>
      <c r="B114" s="3" t="s">
        <v>1001</v>
      </c>
      <c r="D114" s="26" t="s">
        <v>913</v>
      </c>
      <c r="E114" s="63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6"/>
        <v>0</v>
      </c>
      <c r="R114" s="39">
        <f>Q114/Summary!$Q$16</f>
        <v>0</v>
      </c>
      <c r="S114" s="35"/>
      <c r="T114" s="40">
        <f t="shared" si="7"/>
        <v>0</v>
      </c>
    </row>
    <row r="115" spans="1:20" s="3" customFormat="1" ht="25.4" hidden="1" customHeight="1">
      <c r="A115" s="3" t="s">
        <v>914</v>
      </c>
      <c r="B115" s="3" t="s">
        <v>1001</v>
      </c>
      <c r="D115" s="26" t="s">
        <v>915</v>
      </c>
      <c r="E115" s="63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6"/>
        <v>0</v>
      </c>
      <c r="R115" s="39">
        <f>Q115/Summary!$Q$16</f>
        <v>0</v>
      </c>
      <c r="S115" s="35"/>
      <c r="T115" s="40">
        <f t="shared" si="7"/>
        <v>0</v>
      </c>
    </row>
    <row r="116" spans="1:20" s="3" customFormat="1" ht="25.4" hidden="1" customHeight="1">
      <c r="A116" s="3" t="s">
        <v>916</v>
      </c>
      <c r="B116" s="3" t="s">
        <v>1001</v>
      </c>
      <c r="D116" s="26" t="s">
        <v>917</v>
      </c>
      <c r="E116" s="63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6"/>
        <v>0</v>
      </c>
      <c r="R116" s="39">
        <f>Q116/Summary!$Q$16</f>
        <v>0</v>
      </c>
      <c r="S116" s="35"/>
      <c r="T116" s="40">
        <f t="shared" si="7"/>
        <v>0</v>
      </c>
    </row>
    <row r="117" spans="1:20" s="3" customFormat="1" ht="25.4" hidden="1" customHeight="1">
      <c r="A117" s="3" t="s">
        <v>918</v>
      </c>
      <c r="B117" s="3" t="s">
        <v>1001</v>
      </c>
      <c r="D117" s="26" t="s">
        <v>919</v>
      </c>
      <c r="E117" s="63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6"/>
        <v>0</v>
      </c>
      <c r="R117" s="39">
        <f>Q117/Summary!$Q$16</f>
        <v>0</v>
      </c>
      <c r="S117" s="35"/>
      <c r="T117" s="40">
        <f t="shared" si="7"/>
        <v>0</v>
      </c>
    </row>
    <row r="118" spans="1:20" s="3" customFormat="1" ht="25.4" hidden="1" customHeight="1">
      <c r="A118" s="3" t="s">
        <v>920</v>
      </c>
      <c r="B118" s="3" t="s">
        <v>1001</v>
      </c>
      <c r="D118" s="26" t="s">
        <v>921</v>
      </c>
      <c r="E118" s="63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6"/>
        <v>0</v>
      </c>
      <c r="R118" s="39">
        <f>Q118/Summary!$Q$16</f>
        <v>0</v>
      </c>
      <c r="S118" s="35"/>
      <c r="T118" s="40">
        <f t="shared" si="7"/>
        <v>0</v>
      </c>
    </row>
    <row r="119" spans="1:20" s="3" customFormat="1" ht="25.4" hidden="1" customHeight="1">
      <c r="A119" s="3" t="s">
        <v>922</v>
      </c>
      <c r="B119" s="3" t="s">
        <v>1001</v>
      </c>
      <c r="D119" s="26" t="s">
        <v>923</v>
      </c>
      <c r="E119" s="63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6"/>
        <v>0</v>
      </c>
      <c r="R119" s="39">
        <f>Q119/Summary!$Q$16</f>
        <v>0</v>
      </c>
      <c r="S119" s="35"/>
      <c r="T119" s="40">
        <f t="shared" si="7"/>
        <v>0</v>
      </c>
    </row>
    <row r="120" spans="1:20" s="3" customFormat="1" ht="25.4" hidden="1" customHeight="1">
      <c r="A120" s="3" t="s">
        <v>924</v>
      </c>
      <c r="B120" s="3" t="s">
        <v>1001</v>
      </c>
      <c r="D120" s="26" t="s">
        <v>925</v>
      </c>
      <c r="E120" s="63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6"/>
        <v>0</v>
      </c>
      <c r="R120" s="39">
        <f>Q120/Summary!$Q$16</f>
        <v>0</v>
      </c>
      <c r="S120" s="35"/>
      <c r="T120" s="40">
        <f t="shared" si="7"/>
        <v>0</v>
      </c>
    </row>
    <row r="121" spans="1:20" s="3" customFormat="1" ht="25.4" hidden="1" customHeight="1">
      <c r="A121" s="3" t="s">
        <v>926</v>
      </c>
      <c r="B121" s="3" t="s">
        <v>1001</v>
      </c>
      <c r="D121" s="26" t="s">
        <v>927</v>
      </c>
      <c r="E121" s="63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6"/>
        <v>0</v>
      </c>
      <c r="R121" s="39">
        <f>Q121/Summary!$Q$16</f>
        <v>0</v>
      </c>
      <c r="S121" s="35"/>
      <c r="T121" s="40">
        <f t="shared" si="7"/>
        <v>0</v>
      </c>
    </row>
    <row r="122" spans="1:20" s="3" customFormat="1" ht="25.4" hidden="1" customHeight="1">
      <c r="A122" s="3" t="s">
        <v>928</v>
      </c>
      <c r="B122" s="3" t="s">
        <v>1001</v>
      </c>
      <c r="D122" s="26" t="s">
        <v>929</v>
      </c>
      <c r="E122" s="63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3">
        <f t="shared" si="6"/>
        <v>0</v>
      </c>
      <c r="R122" s="39">
        <f>Q122/Summary!$Q$16</f>
        <v>0</v>
      </c>
      <c r="S122" s="35"/>
      <c r="T122" s="40">
        <f t="shared" si="7"/>
        <v>0</v>
      </c>
    </row>
    <row r="123" spans="1:20" s="3" customFormat="1" ht="25.4" hidden="1" customHeight="1">
      <c r="A123" s="3" t="s">
        <v>930</v>
      </c>
      <c r="B123" s="3" t="s">
        <v>1001</v>
      </c>
      <c r="D123" s="26" t="s">
        <v>931</v>
      </c>
      <c r="E123" s="63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3">
        <f t="shared" si="6"/>
        <v>0</v>
      </c>
      <c r="R123" s="39">
        <f>Q123/Summary!$Q$16</f>
        <v>0</v>
      </c>
      <c r="S123" s="35"/>
      <c r="T123" s="40">
        <f t="shared" si="7"/>
        <v>0</v>
      </c>
    </row>
    <row r="124" spans="1:20" s="3" customFormat="1" ht="25.4" hidden="1" customHeight="1">
      <c r="A124" s="3" t="s">
        <v>932</v>
      </c>
      <c r="B124" s="3" t="s">
        <v>1001</v>
      </c>
      <c r="D124" s="26" t="s">
        <v>933</v>
      </c>
      <c r="E124" s="63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3">
        <f t="shared" si="6"/>
        <v>0</v>
      </c>
      <c r="R124" s="39">
        <f>Q124/Summary!$Q$16</f>
        <v>0</v>
      </c>
      <c r="S124" s="35"/>
      <c r="T124" s="40">
        <f t="shared" si="7"/>
        <v>0</v>
      </c>
    </row>
    <row r="125" spans="1:20" s="3" customFormat="1" ht="25.4" hidden="1" customHeight="1">
      <c r="A125" s="3" t="s">
        <v>934</v>
      </c>
      <c r="B125" s="3" t="s">
        <v>1001</v>
      </c>
      <c r="D125" s="26" t="s">
        <v>935</v>
      </c>
      <c r="E125" s="63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3">
        <f t="shared" si="6"/>
        <v>0</v>
      </c>
      <c r="R125" s="39">
        <f>Q125/Summary!$Q$16</f>
        <v>0</v>
      </c>
      <c r="S125" s="35"/>
      <c r="T125" s="40">
        <f t="shared" ref="T125:T156" si="8">-IF(Q125-S125=0,0,(Q125-S125)/S125)</f>
        <v>0</v>
      </c>
    </row>
    <row r="126" spans="1:20" s="3" customFormat="1" ht="25.4" hidden="1" customHeight="1">
      <c r="A126" s="3" t="s">
        <v>936</v>
      </c>
      <c r="B126" s="3" t="s">
        <v>1001</v>
      </c>
      <c r="D126" s="26" t="s">
        <v>937</v>
      </c>
      <c r="E126" s="63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3">
        <f t="shared" si="6"/>
        <v>0</v>
      </c>
      <c r="R126" s="39">
        <f>Q126/Summary!$Q$16</f>
        <v>0</v>
      </c>
      <c r="S126" s="35"/>
      <c r="T126" s="40">
        <f t="shared" si="8"/>
        <v>0</v>
      </c>
    </row>
    <row r="127" spans="1:20" s="3" customFormat="1" ht="25.4" hidden="1" customHeight="1">
      <c r="A127" s="3" t="s">
        <v>938</v>
      </c>
      <c r="B127" s="3" t="s">
        <v>1001</v>
      </c>
      <c r="D127" s="26" t="s">
        <v>939</v>
      </c>
      <c r="E127" s="63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3">
        <f t="shared" si="6"/>
        <v>0</v>
      </c>
      <c r="R127" s="39">
        <f>Q127/Summary!$Q$16</f>
        <v>0</v>
      </c>
      <c r="S127" s="35"/>
      <c r="T127" s="40">
        <f t="shared" si="8"/>
        <v>0</v>
      </c>
    </row>
    <row r="128" spans="1:20" s="3" customFormat="1" ht="25.4" hidden="1" customHeight="1">
      <c r="A128" s="3" t="s">
        <v>940</v>
      </c>
      <c r="B128" s="3" t="s">
        <v>1001</v>
      </c>
      <c r="D128" s="26" t="s">
        <v>941</v>
      </c>
      <c r="E128" s="63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3">
        <f t="shared" si="6"/>
        <v>0</v>
      </c>
      <c r="R128" s="39">
        <f>Q128/Summary!$Q$16</f>
        <v>0</v>
      </c>
      <c r="S128" s="35"/>
      <c r="T128" s="40">
        <f t="shared" si="8"/>
        <v>0</v>
      </c>
    </row>
    <row r="129" spans="1:20" s="3" customFormat="1" ht="25.4" hidden="1" customHeight="1">
      <c r="A129" s="3" t="s">
        <v>942</v>
      </c>
      <c r="B129" s="3" t="s">
        <v>1001</v>
      </c>
      <c r="D129" s="26" t="s">
        <v>943</v>
      </c>
      <c r="E129" s="63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3">
        <f t="shared" si="6"/>
        <v>0</v>
      </c>
      <c r="R129" s="39">
        <f>Q129/Summary!$Q$16</f>
        <v>0</v>
      </c>
      <c r="S129" s="35"/>
      <c r="T129" s="40">
        <f t="shared" si="8"/>
        <v>0</v>
      </c>
    </row>
    <row r="130" spans="1:20" s="3" customFormat="1" ht="25.4" hidden="1" customHeight="1">
      <c r="A130" s="3" t="s">
        <v>944</v>
      </c>
      <c r="B130" s="3" t="s">
        <v>1001</v>
      </c>
      <c r="D130" s="26" t="s">
        <v>945</v>
      </c>
      <c r="E130" s="63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3">
        <f t="shared" si="6"/>
        <v>0</v>
      </c>
      <c r="R130" s="39">
        <f>Q130/Summary!$Q$16</f>
        <v>0</v>
      </c>
      <c r="S130" s="35"/>
      <c r="T130" s="40">
        <f t="shared" si="8"/>
        <v>0</v>
      </c>
    </row>
    <row r="131" spans="1:20" s="3" customFormat="1" ht="25.4" hidden="1" customHeight="1">
      <c r="A131" s="3" t="s">
        <v>946</v>
      </c>
      <c r="B131" s="3" t="s">
        <v>1001</v>
      </c>
      <c r="D131" s="26" t="s">
        <v>947</v>
      </c>
      <c r="E131" s="63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3">
        <f t="shared" si="6"/>
        <v>0</v>
      </c>
      <c r="R131" s="39">
        <f>Q131/Summary!$Q$16</f>
        <v>0</v>
      </c>
      <c r="S131" s="35"/>
      <c r="T131" s="40">
        <f t="shared" si="8"/>
        <v>0</v>
      </c>
    </row>
    <row r="132" spans="1:20" s="3" customFormat="1" ht="25.4" hidden="1" customHeight="1">
      <c r="A132" s="3" t="s">
        <v>948</v>
      </c>
      <c r="B132" s="3" t="s">
        <v>1001</v>
      </c>
      <c r="D132" s="26" t="s">
        <v>949</v>
      </c>
      <c r="E132" s="63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3">
        <f t="shared" si="6"/>
        <v>0</v>
      </c>
      <c r="R132" s="39">
        <f>Q132/Summary!$Q$16</f>
        <v>0</v>
      </c>
      <c r="S132" s="35"/>
      <c r="T132" s="40">
        <f t="shared" si="8"/>
        <v>0</v>
      </c>
    </row>
    <row r="133" spans="1:20" s="3" customFormat="1" ht="25.4" hidden="1" customHeight="1">
      <c r="A133" s="3" t="s">
        <v>950</v>
      </c>
      <c r="B133" s="3" t="s">
        <v>1001</v>
      </c>
      <c r="D133" s="26" t="s">
        <v>951</v>
      </c>
      <c r="E133" s="63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3">
        <f t="shared" si="6"/>
        <v>0</v>
      </c>
      <c r="R133" s="39">
        <f>Q133/Summary!$Q$16</f>
        <v>0</v>
      </c>
      <c r="S133" s="35"/>
      <c r="T133" s="40">
        <f t="shared" si="8"/>
        <v>0</v>
      </c>
    </row>
    <row r="134" spans="1:20" s="3" customFormat="1" ht="25.4" hidden="1" customHeight="1">
      <c r="A134" s="3" t="s">
        <v>952</v>
      </c>
      <c r="B134" s="3" t="s">
        <v>1001</v>
      </c>
      <c r="D134" s="26" t="s">
        <v>953</v>
      </c>
      <c r="E134" s="63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3">
        <f t="shared" si="6"/>
        <v>0</v>
      </c>
      <c r="R134" s="39">
        <f>Q134/Summary!$Q$16</f>
        <v>0</v>
      </c>
      <c r="S134" s="35"/>
      <c r="T134" s="40">
        <f t="shared" si="8"/>
        <v>0</v>
      </c>
    </row>
    <row r="135" spans="1:20" s="3" customFormat="1" ht="25.4" hidden="1" customHeight="1">
      <c r="A135" s="3" t="s">
        <v>954</v>
      </c>
      <c r="B135" s="3" t="s">
        <v>1001</v>
      </c>
      <c r="D135" s="26" t="s">
        <v>955</v>
      </c>
      <c r="E135" s="63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3">
        <f t="shared" si="6"/>
        <v>0</v>
      </c>
      <c r="R135" s="39">
        <f>Q135/Summary!$Q$16</f>
        <v>0</v>
      </c>
      <c r="S135" s="35"/>
      <c r="T135" s="40">
        <f t="shared" si="8"/>
        <v>0</v>
      </c>
    </row>
    <row r="136" spans="1:20" s="3" customFormat="1" ht="25.4" hidden="1" customHeight="1">
      <c r="A136" s="3" t="s">
        <v>956</v>
      </c>
      <c r="B136" s="3" t="s">
        <v>1001</v>
      </c>
      <c r="D136" s="26" t="s">
        <v>957</v>
      </c>
      <c r="E136" s="63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3">
        <f t="shared" si="6"/>
        <v>0</v>
      </c>
      <c r="R136" s="39">
        <f>Q136/Summary!$Q$16</f>
        <v>0</v>
      </c>
      <c r="S136" s="35"/>
      <c r="T136" s="40">
        <f t="shared" si="8"/>
        <v>0</v>
      </c>
    </row>
    <row r="137" spans="1:20" s="3" customFormat="1" ht="25.4" hidden="1" customHeight="1">
      <c r="A137" s="3" t="s">
        <v>958</v>
      </c>
      <c r="B137" s="3" t="s">
        <v>1001</v>
      </c>
      <c r="D137" s="26" t="s">
        <v>959</v>
      </c>
      <c r="E137" s="63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3">
        <f t="shared" si="6"/>
        <v>0</v>
      </c>
      <c r="R137" s="39">
        <f>Q137/Summary!$Q$16</f>
        <v>0</v>
      </c>
      <c r="S137" s="35"/>
      <c r="T137" s="40">
        <f t="shared" si="8"/>
        <v>0</v>
      </c>
    </row>
    <row r="138" spans="1:20" s="3" customFormat="1" ht="25.4" hidden="1" customHeight="1">
      <c r="A138" s="3" t="s">
        <v>960</v>
      </c>
      <c r="B138" s="3" t="s">
        <v>1001</v>
      </c>
      <c r="D138" s="26" t="s">
        <v>961</v>
      </c>
      <c r="E138" s="63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3">
        <f t="shared" si="6"/>
        <v>0</v>
      </c>
      <c r="R138" s="39">
        <f>Q138/Summary!$Q$16</f>
        <v>0</v>
      </c>
      <c r="S138" s="35"/>
      <c r="T138" s="40">
        <f t="shared" si="8"/>
        <v>0</v>
      </c>
    </row>
    <row r="139" spans="1:20" s="3" customFormat="1" ht="25.4" hidden="1" customHeight="1">
      <c r="A139" s="3" t="s">
        <v>962</v>
      </c>
      <c r="B139" s="3" t="s">
        <v>1001</v>
      </c>
      <c r="D139" s="26" t="s">
        <v>963</v>
      </c>
      <c r="E139" s="63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3">
        <f t="shared" si="6"/>
        <v>0</v>
      </c>
      <c r="R139" s="39">
        <f>Q139/Summary!$Q$16</f>
        <v>0</v>
      </c>
      <c r="S139" s="35"/>
      <c r="T139" s="40">
        <f t="shared" si="8"/>
        <v>0</v>
      </c>
    </row>
    <row r="140" spans="1:20" s="3" customFormat="1" ht="25.4" hidden="1" customHeight="1">
      <c r="A140" s="3" t="s">
        <v>964</v>
      </c>
      <c r="B140" s="3" t="s">
        <v>1001</v>
      </c>
      <c r="D140" s="26" t="s">
        <v>965</v>
      </c>
      <c r="E140" s="63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3">
        <f t="shared" si="6"/>
        <v>0</v>
      </c>
      <c r="R140" s="39">
        <f>Q140/Summary!$Q$16</f>
        <v>0</v>
      </c>
      <c r="S140" s="35"/>
      <c r="T140" s="40">
        <f t="shared" si="8"/>
        <v>0</v>
      </c>
    </row>
    <row r="141" spans="1:20" s="3" customFormat="1" ht="25.4" hidden="1" customHeight="1">
      <c r="A141" s="3" t="s">
        <v>966</v>
      </c>
      <c r="B141" s="3" t="s">
        <v>1001</v>
      </c>
      <c r="D141" s="26" t="s">
        <v>967</v>
      </c>
      <c r="E141" s="63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3">
        <f t="shared" si="6"/>
        <v>0</v>
      </c>
      <c r="R141" s="39">
        <f>Q141/Summary!$Q$16</f>
        <v>0</v>
      </c>
      <c r="S141" s="35"/>
      <c r="T141" s="40">
        <f t="shared" si="8"/>
        <v>0</v>
      </c>
    </row>
    <row r="142" spans="1:20" s="3" customFormat="1" ht="25.4" hidden="1" customHeight="1">
      <c r="A142" s="3" t="s">
        <v>968</v>
      </c>
      <c r="B142" s="3" t="s">
        <v>1001</v>
      </c>
      <c r="D142" s="26" t="s">
        <v>969</v>
      </c>
      <c r="E142" s="63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3">
        <f t="shared" si="6"/>
        <v>0</v>
      </c>
      <c r="R142" s="39">
        <f>Q142/Summary!$Q$16</f>
        <v>0</v>
      </c>
      <c r="S142" s="35"/>
      <c r="T142" s="40">
        <f t="shared" si="8"/>
        <v>0</v>
      </c>
    </row>
    <row r="143" spans="1:20" s="3" customFormat="1" ht="25.4" hidden="1" customHeight="1">
      <c r="A143" s="3" t="s">
        <v>970</v>
      </c>
      <c r="B143" s="3" t="s">
        <v>1001</v>
      </c>
      <c r="D143" s="26" t="s">
        <v>971</v>
      </c>
      <c r="E143" s="63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3">
        <f t="shared" si="6"/>
        <v>0</v>
      </c>
      <c r="R143" s="39">
        <f>Q143/Summary!$Q$16</f>
        <v>0</v>
      </c>
      <c r="S143" s="35"/>
      <c r="T143" s="40">
        <f t="shared" si="8"/>
        <v>0</v>
      </c>
    </row>
    <row r="144" spans="1:20" s="3" customFormat="1" ht="25.4" hidden="1" customHeight="1">
      <c r="A144" s="3" t="s">
        <v>972</v>
      </c>
      <c r="B144" s="3" t="s">
        <v>1001</v>
      </c>
      <c r="D144" s="26" t="s">
        <v>973</v>
      </c>
      <c r="E144" s="63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3">
        <f t="shared" ref="Q144:Q157" si="9">SUM(E144:P144)</f>
        <v>0</v>
      </c>
      <c r="R144" s="39">
        <f>Q144/Summary!$Q$16</f>
        <v>0</v>
      </c>
      <c r="S144" s="35"/>
      <c r="T144" s="40">
        <f t="shared" si="8"/>
        <v>0</v>
      </c>
    </row>
    <row r="145" spans="1:20" s="3" customFormat="1" ht="25.4" hidden="1" customHeight="1">
      <c r="A145" s="3" t="s">
        <v>974</v>
      </c>
      <c r="B145" s="3" t="s">
        <v>1001</v>
      </c>
      <c r="D145" s="26" t="s">
        <v>975</v>
      </c>
      <c r="E145" s="63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3">
        <f t="shared" si="9"/>
        <v>0</v>
      </c>
      <c r="R145" s="39">
        <f>Q145/Summary!$Q$16</f>
        <v>0</v>
      </c>
      <c r="S145" s="35"/>
      <c r="T145" s="40">
        <f t="shared" si="8"/>
        <v>0</v>
      </c>
    </row>
    <row r="146" spans="1:20" s="3" customFormat="1" ht="25.4" hidden="1" customHeight="1">
      <c r="A146" s="3" t="s">
        <v>976</v>
      </c>
      <c r="B146" s="3" t="s">
        <v>1001</v>
      </c>
      <c r="D146" s="26" t="s">
        <v>977</v>
      </c>
      <c r="E146" s="63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3">
        <f t="shared" si="9"/>
        <v>0</v>
      </c>
      <c r="R146" s="39">
        <f>Q146/Summary!$Q$16</f>
        <v>0</v>
      </c>
      <c r="S146" s="35"/>
      <c r="T146" s="40">
        <f t="shared" si="8"/>
        <v>0</v>
      </c>
    </row>
    <row r="147" spans="1:20" s="3" customFormat="1" ht="25.4" hidden="1" customHeight="1">
      <c r="A147" s="3" t="s">
        <v>978</v>
      </c>
      <c r="B147" s="3" t="s">
        <v>1001</v>
      </c>
      <c r="D147" s="26" t="s">
        <v>979</v>
      </c>
      <c r="E147" s="63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3">
        <f t="shared" si="9"/>
        <v>0</v>
      </c>
      <c r="R147" s="39">
        <f>Q147/Summary!$Q$16</f>
        <v>0</v>
      </c>
      <c r="S147" s="35"/>
      <c r="T147" s="40">
        <f t="shared" si="8"/>
        <v>0</v>
      </c>
    </row>
    <row r="148" spans="1:20" s="3" customFormat="1" ht="25.4" hidden="1" customHeight="1">
      <c r="A148" s="3" t="s">
        <v>980</v>
      </c>
      <c r="B148" s="3" t="s">
        <v>1001</v>
      </c>
      <c r="D148" s="26" t="s">
        <v>981</v>
      </c>
      <c r="E148" s="63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3">
        <f t="shared" si="9"/>
        <v>0</v>
      </c>
      <c r="R148" s="39">
        <f>Q148/Summary!$Q$16</f>
        <v>0</v>
      </c>
      <c r="S148" s="35"/>
      <c r="T148" s="40">
        <f t="shared" si="8"/>
        <v>0</v>
      </c>
    </row>
    <row r="149" spans="1:20" s="3" customFormat="1" ht="25.4" hidden="1" customHeight="1">
      <c r="A149" s="3" t="s">
        <v>982</v>
      </c>
      <c r="B149" s="3" t="s">
        <v>1001</v>
      </c>
      <c r="D149" s="26" t="s">
        <v>983</v>
      </c>
      <c r="E149" s="63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3">
        <f t="shared" si="9"/>
        <v>0</v>
      </c>
      <c r="R149" s="39">
        <f>Q149/Summary!$Q$16</f>
        <v>0</v>
      </c>
      <c r="S149" s="35"/>
      <c r="T149" s="40">
        <f t="shared" si="8"/>
        <v>0</v>
      </c>
    </row>
    <row r="150" spans="1:20" s="3" customFormat="1" ht="25.4" hidden="1" customHeight="1">
      <c r="A150" s="3" t="s">
        <v>984</v>
      </c>
      <c r="B150" s="3" t="s">
        <v>1001</v>
      </c>
      <c r="D150" s="26" t="s">
        <v>985</v>
      </c>
      <c r="E150" s="63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3">
        <f t="shared" si="9"/>
        <v>0</v>
      </c>
      <c r="R150" s="39">
        <f>Q150/Summary!$Q$16</f>
        <v>0</v>
      </c>
      <c r="S150" s="35"/>
      <c r="T150" s="40">
        <f t="shared" si="8"/>
        <v>0</v>
      </c>
    </row>
    <row r="151" spans="1:20" s="3" customFormat="1" ht="25.4" hidden="1" customHeight="1">
      <c r="A151" s="3" t="s">
        <v>986</v>
      </c>
      <c r="B151" s="3" t="s">
        <v>1001</v>
      </c>
      <c r="D151" s="26" t="s">
        <v>987</v>
      </c>
      <c r="E151" s="63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3">
        <f t="shared" si="9"/>
        <v>0</v>
      </c>
      <c r="R151" s="39">
        <f>Q151/Summary!$Q$16</f>
        <v>0</v>
      </c>
      <c r="S151" s="35"/>
      <c r="T151" s="40">
        <f t="shared" si="8"/>
        <v>0</v>
      </c>
    </row>
    <row r="152" spans="1:20" s="3" customFormat="1" ht="25.4" hidden="1" customHeight="1">
      <c r="A152" s="3" t="s">
        <v>988</v>
      </c>
      <c r="B152" s="3" t="s">
        <v>1001</v>
      </c>
      <c r="D152" s="26" t="s">
        <v>989</v>
      </c>
      <c r="E152" s="63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3">
        <f t="shared" si="9"/>
        <v>0</v>
      </c>
      <c r="R152" s="39">
        <f>Q152/Summary!$Q$16</f>
        <v>0</v>
      </c>
      <c r="S152" s="35"/>
      <c r="T152" s="40">
        <f t="shared" si="8"/>
        <v>0</v>
      </c>
    </row>
    <row r="153" spans="1:20" s="3" customFormat="1" ht="25.4" hidden="1" customHeight="1">
      <c r="A153" s="3" t="s">
        <v>990</v>
      </c>
      <c r="B153" s="3" t="s">
        <v>1001</v>
      </c>
      <c r="D153" s="26" t="s">
        <v>991</v>
      </c>
      <c r="E153" s="63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3">
        <f t="shared" si="9"/>
        <v>0</v>
      </c>
      <c r="R153" s="39">
        <f>Q153/Summary!$Q$16</f>
        <v>0</v>
      </c>
      <c r="S153" s="35"/>
      <c r="T153" s="40">
        <f t="shared" si="8"/>
        <v>0</v>
      </c>
    </row>
    <row r="154" spans="1:20" s="3" customFormat="1" ht="25.4" hidden="1" customHeight="1">
      <c r="A154" s="3" t="s">
        <v>992</v>
      </c>
      <c r="B154" s="3" t="s">
        <v>1001</v>
      </c>
      <c r="D154" s="26" t="s">
        <v>993</v>
      </c>
      <c r="E154" s="63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3">
        <f t="shared" si="9"/>
        <v>0</v>
      </c>
      <c r="R154" s="39">
        <f>Q154/Summary!$Q$16</f>
        <v>0</v>
      </c>
      <c r="S154" s="35"/>
      <c r="T154" s="40">
        <f t="shared" si="8"/>
        <v>0</v>
      </c>
    </row>
    <row r="155" spans="1:20" s="3" customFormat="1" ht="25.4" hidden="1" customHeight="1">
      <c r="A155" s="3" t="s">
        <v>994</v>
      </c>
      <c r="B155" s="3" t="s">
        <v>1001</v>
      </c>
      <c r="D155" s="26" t="s">
        <v>995</v>
      </c>
      <c r="E155" s="63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3">
        <f t="shared" si="9"/>
        <v>0</v>
      </c>
      <c r="R155" s="39">
        <f>Q155/Summary!$Q$16</f>
        <v>0</v>
      </c>
      <c r="S155" s="35"/>
      <c r="T155" s="40">
        <f t="shared" si="8"/>
        <v>0</v>
      </c>
    </row>
    <row r="156" spans="1:20" s="3" customFormat="1" ht="25.4" hidden="1" customHeight="1">
      <c r="A156" s="3" t="s">
        <v>996</v>
      </c>
      <c r="B156" s="3" t="s">
        <v>1001</v>
      </c>
      <c r="D156" s="26" t="s">
        <v>997</v>
      </c>
      <c r="E156" s="63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3">
        <f t="shared" si="9"/>
        <v>0</v>
      </c>
      <c r="R156" s="39">
        <f>Q156/Summary!$Q$16</f>
        <v>0</v>
      </c>
      <c r="S156" s="35"/>
      <c r="T156" s="40">
        <f t="shared" si="8"/>
        <v>0</v>
      </c>
    </row>
    <row r="157" spans="1:20" s="3" customFormat="1" ht="25.4" customHeight="1">
      <c r="A157" s="3" t="s">
        <v>595</v>
      </c>
      <c r="B157" s="3" t="s">
        <v>1001</v>
      </c>
      <c r="D157" s="26" t="s">
        <v>596</v>
      </c>
      <c r="E157" s="63">
        <v>200</v>
      </c>
      <c r="F157" s="63">
        <v>200</v>
      </c>
      <c r="G157" s="63">
        <v>200</v>
      </c>
      <c r="H157" s="63">
        <v>200</v>
      </c>
      <c r="I157" s="63">
        <v>200</v>
      </c>
      <c r="J157" s="63">
        <v>200</v>
      </c>
      <c r="K157" s="63">
        <v>200</v>
      </c>
      <c r="L157" s="63">
        <v>200</v>
      </c>
      <c r="M157" s="63">
        <v>200</v>
      </c>
      <c r="N157" s="63">
        <v>200</v>
      </c>
      <c r="O157" s="63">
        <v>200</v>
      </c>
      <c r="P157" s="63">
        <v>200</v>
      </c>
      <c r="Q157" s="3">
        <f t="shared" si="9"/>
        <v>2400</v>
      </c>
      <c r="R157" s="39">
        <f>Q157/Summary!$Q$16</f>
        <v>3.0131737160133587E-5</v>
      </c>
      <c r="S157" s="35"/>
      <c r="T157" s="40" t="e">
        <f t="shared" ref="T157:T159" si="10">-IF(Q157-S157=0,0,(Q157-S157)/S157)</f>
        <v>#DIV/0!</v>
      </c>
    </row>
    <row r="158" spans="1:20" s="19" customFormat="1" ht="25.4" customHeight="1">
      <c r="D158" s="21" t="s">
        <v>597</v>
      </c>
      <c r="E158" s="45">
        <f>SUM(E15:E157)</f>
        <v>19816.922400000003</v>
      </c>
      <c r="F158" s="45">
        <f t="shared" ref="F158:Q158" si="11">SUM(F15:F157)</f>
        <v>22761.775000000001</v>
      </c>
      <c r="G158" s="45">
        <f t="shared" si="11"/>
        <v>17466.995199999998</v>
      </c>
      <c r="H158" s="45">
        <f t="shared" si="11"/>
        <v>16949.9948</v>
      </c>
      <c r="I158" s="45">
        <f t="shared" si="11"/>
        <v>20046.143800000005</v>
      </c>
      <c r="J158" s="45">
        <f t="shared" si="11"/>
        <v>17081.171000000002</v>
      </c>
      <c r="K158" s="45">
        <f t="shared" si="11"/>
        <v>30858.7552</v>
      </c>
      <c r="L158" s="45">
        <f t="shared" si="11"/>
        <v>21300.701200000003</v>
      </c>
      <c r="M158" s="45">
        <f t="shared" si="11"/>
        <v>16993.398000000001</v>
      </c>
      <c r="N158" s="45">
        <f t="shared" si="11"/>
        <v>34048.295400000003</v>
      </c>
      <c r="O158" s="45">
        <f t="shared" si="11"/>
        <v>20476.324400000005</v>
      </c>
      <c r="P158" s="45">
        <f t="shared" si="11"/>
        <v>21430.477200000001</v>
      </c>
      <c r="Q158" s="45">
        <f t="shared" si="11"/>
        <v>259230.95360000001</v>
      </c>
      <c r="R158" s="39">
        <f>Q158/Summary!$Q$16</f>
        <v>3.2546162323524941E-3</v>
      </c>
      <c r="S158" s="35"/>
      <c r="T158" s="40" t="e">
        <f t="shared" si="10"/>
        <v>#DIV/0!</v>
      </c>
    </row>
    <row r="159" spans="1:20" s="19" customFormat="1" ht="25.4" customHeight="1">
      <c r="D159" s="21" t="s">
        <v>598</v>
      </c>
      <c r="E159" s="45">
        <f>+E12+E158</f>
        <v>212794.89240000001</v>
      </c>
      <c r="F159" s="45">
        <f t="shared" ref="F159:P159" si="12">+F12+F158</f>
        <v>215757.10499999998</v>
      </c>
      <c r="G159" s="45">
        <f t="shared" si="12"/>
        <v>209973.44520000002</v>
      </c>
      <c r="H159" s="45">
        <f t="shared" si="12"/>
        <v>209501.80479999998</v>
      </c>
      <c r="I159" s="45">
        <f t="shared" si="12"/>
        <v>216785.36379999999</v>
      </c>
      <c r="J159" s="45">
        <f t="shared" si="12"/>
        <v>208893.08100000001</v>
      </c>
      <c r="K159" s="45">
        <f t="shared" si="12"/>
        <v>222472.14519999997</v>
      </c>
      <c r="L159" s="45">
        <f t="shared" si="12"/>
        <v>212939.15120000002</v>
      </c>
      <c r="M159" s="45">
        <f t="shared" si="12"/>
        <v>208653.82799999998</v>
      </c>
      <c r="N159" s="45">
        <f t="shared" si="12"/>
        <v>232053.61540000001</v>
      </c>
      <c r="O159" s="45">
        <f t="shared" si="12"/>
        <v>212019.4344</v>
      </c>
      <c r="P159" s="45">
        <f t="shared" si="12"/>
        <v>212912.96719999998</v>
      </c>
      <c r="Q159" s="45">
        <f t="shared" ref="Q159" si="13">+Q12+Q158</f>
        <v>2574756.8336</v>
      </c>
      <c r="R159" s="39">
        <f>Q159/Summary!$Q$16</f>
        <v>3.2325790067205422E-2</v>
      </c>
      <c r="S159" s="35"/>
      <c r="T159" s="40" t="e">
        <f t="shared" si="10"/>
        <v>#DIV/0!</v>
      </c>
    </row>
    <row r="160" spans="1:20" s="3" customFormat="1" ht="25.4" hidden="1" customHeight="1">
      <c r="A160" s="77" t="s">
        <v>599</v>
      </c>
      <c r="B160" s="3" t="s">
        <v>1001</v>
      </c>
      <c r="D160" s="42" t="s">
        <v>353</v>
      </c>
      <c r="E160" s="27">
        <f t="shared" ref="E160:P160" si="14">E159</f>
        <v>212794.89240000001</v>
      </c>
      <c r="F160" s="27">
        <f t="shared" si="14"/>
        <v>215757.10499999998</v>
      </c>
      <c r="G160" s="27">
        <f t="shared" si="14"/>
        <v>209973.44520000002</v>
      </c>
      <c r="H160" s="27">
        <f t="shared" si="14"/>
        <v>209501.80479999998</v>
      </c>
      <c r="I160" s="27">
        <f t="shared" si="14"/>
        <v>216785.36379999999</v>
      </c>
      <c r="J160" s="27">
        <f t="shared" si="14"/>
        <v>208893.08100000001</v>
      </c>
      <c r="K160" s="27">
        <f t="shared" si="14"/>
        <v>222472.14519999997</v>
      </c>
      <c r="L160" s="27">
        <f t="shared" si="14"/>
        <v>212939.15120000002</v>
      </c>
      <c r="M160" s="27">
        <f t="shared" si="14"/>
        <v>208653.82799999998</v>
      </c>
      <c r="N160" s="27">
        <f t="shared" si="14"/>
        <v>232053.61540000001</v>
      </c>
      <c r="O160" s="27">
        <f t="shared" si="14"/>
        <v>212019.4344</v>
      </c>
      <c r="P160" s="27">
        <f t="shared" si="14"/>
        <v>212912.96719999998</v>
      </c>
      <c r="Q160" s="3">
        <f>+Q159</f>
        <v>2574756.8336</v>
      </c>
      <c r="S160" s="35"/>
      <c r="T160" s="40" t="e">
        <f>IF(Q160-S160=0,0,(Q160-S160)/S160)</f>
        <v>#DIV/0!</v>
      </c>
    </row>
    <row r="161" spans="1:20" s="3" customFormat="1" ht="25.4" customHeight="1">
      <c r="D161" s="42"/>
      <c r="E161" s="68"/>
      <c r="F161" s="68"/>
      <c r="G161" s="68"/>
      <c r="H161" s="68"/>
      <c r="I161" s="68"/>
      <c r="S161" s="35"/>
      <c r="T161" s="40"/>
    </row>
    <row r="162" spans="1:20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S162" s="35"/>
      <c r="T162" s="40"/>
    </row>
    <row r="163" spans="1:20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S163" s="35"/>
      <c r="T163" s="40"/>
    </row>
    <row r="164" spans="1:20" s="3" customFormat="1" ht="25.4" customHeight="1">
      <c r="A164" s="253" t="s">
        <v>297</v>
      </c>
      <c r="B164" s="3" t="s">
        <v>1001</v>
      </c>
      <c r="D164" s="26" t="s">
        <v>299</v>
      </c>
      <c r="E164" s="27">
        <v>57150</v>
      </c>
      <c r="F164" s="27">
        <v>57150</v>
      </c>
      <c r="G164" s="27">
        <v>57150</v>
      </c>
      <c r="H164" s="27">
        <v>57150</v>
      </c>
      <c r="I164" s="27">
        <v>57150</v>
      </c>
      <c r="J164" s="27">
        <v>57150</v>
      </c>
      <c r="K164" s="27">
        <v>57150</v>
      </c>
      <c r="L164" s="27">
        <v>57150</v>
      </c>
      <c r="M164" s="27">
        <v>57150</v>
      </c>
      <c r="N164" s="27">
        <v>57150</v>
      </c>
      <c r="O164" s="27">
        <v>57150</v>
      </c>
      <c r="P164" s="27">
        <v>57150</v>
      </c>
      <c r="Q164" s="3">
        <f>SUM(E164:P164)</f>
        <v>685800</v>
      </c>
      <c r="R164" s="39">
        <f>Q164/Summary!$Q$16</f>
        <v>8.6101438935081726E-3</v>
      </c>
      <c r="S164" s="35">
        <v>1049965.99</v>
      </c>
      <c r="T164" s="40">
        <f>-IF(Q164-S164=0,0,(Q164-S164)/S164)</f>
        <v>0.34683598656371717</v>
      </c>
    </row>
    <row r="165" spans="1:20" s="3" customFormat="1" ht="25.4" customHeight="1">
      <c r="A165" s="50" t="s">
        <v>300</v>
      </c>
      <c r="B165" s="3" t="s">
        <v>1001</v>
      </c>
      <c r="D165" s="26" t="s">
        <v>434</v>
      </c>
      <c r="E165" s="27">
        <v>69500</v>
      </c>
      <c r="F165" s="27">
        <v>69500</v>
      </c>
      <c r="G165" s="27">
        <v>69500</v>
      </c>
      <c r="H165" s="27">
        <v>69500</v>
      </c>
      <c r="I165" s="27">
        <v>69500</v>
      </c>
      <c r="J165" s="27">
        <v>69500</v>
      </c>
      <c r="K165" s="27">
        <v>69500</v>
      </c>
      <c r="L165" s="27">
        <v>69500</v>
      </c>
      <c r="M165" s="27">
        <v>69500</v>
      </c>
      <c r="N165" s="27">
        <v>69500</v>
      </c>
      <c r="O165" s="27">
        <v>69500</v>
      </c>
      <c r="P165" s="27">
        <v>69500</v>
      </c>
      <c r="Q165" s="3">
        <f>SUM(E165:P165)</f>
        <v>834000</v>
      </c>
      <c r="R165" s="39">
        <f>Q165/Summary!$Q$16</f>
        <v>1.0470778663146421E-2</v>
      </c>
      <c r="S165" s="35">
        <v>782035.23</v>
      </c>
      <c r="T165" s="40">
        <f>-IF(Q165-S165=0,0,(Q165-S165)/S165)</f>
        <v>-6.6448118967735018E-2</v>
      </c>
    </row>
    <row r="166" spans="1:20" s="3" customFormat="1" ht="25.4" customHeight="1">
      <c r="B166" s="51"/>
      <c r="D166" s="21" t="s">
        <v>437</v>
      </c>
      <c r="E166" s="52">
        <f>SUM(E164:E165)</f>
        <v>126650</v>
      </c>
      <c r="F166" s="52">
        <f t="shared" ref="F166:P166" si="15">SUM(F164:F165)</f>
        <v>126650</v>
      </c>
      <c r="G166" s="52">
        <f t="shared" si="15"/>
        <v>126650</v>
      </c>
      <c r="H166" s="52">
        <f t="shared" si="15"/>
        <v>126650</v>
      </c>
      <c r="I166" s="52">
        <f t="shared" si="15"/>
        <v>126650</v>
      </c>
      <c r="J166" s="52">
        <f t="shared" si="15"/>
        <v>126650</v>
      </c>
      <c r="K166" s="52">
        <f t="shared" si="15"/>
        <v>126650</v>
      </c>
      <c r="L166" s="52">
        <f t="shared" si="15"/>
        <v>126650</v>
      </c>
      <c r="M166" s="52">
        <f t="shared" si="15"/>
        <v>126650</v>
      </c>
      <c r="N166" s="52">
        <f t="shared" si="15"/>
        <v>126650</v>
      </c>
      <c r="O166" s="52">
        <f t="shared" si="15"/>
        <v>126650</v>
      </c>
      <c r="P166" s="52">
        <f t="shared" si="15"/>
        <v>126650</v>
      </c>
      <c r="Q166" s="52">
        <f t="shared" ref="Q166" si="16">SUM(Q164:Q165)</f>
        <v>1519800</v>
      </c>
      <c r="R166" s="39">
        <f>Q166/Summary!$Q$16</f>
        <v>1.9080922556654594E-2</v>
      </c>
      <c r="S166" s="35">
        <v>1832001.22</v>
      </c>
      <c r="T166" s="40">
        <f>-IF(Q166-S166=0,0,(Q166-S166)/S166)</f>
        <v>0.17041539961419894</v>
      </c>
    </row>
    <row r="167" spans="1:20" s="3" customFormat="1" ht="25.4" customHeight="1">
      <c r="B167" s="51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S167" s="35"/>
      <c r="T167" s="40"/>
    </row>
    <row r="168" spans="1:20" s="3" customFormat="1" ht="24.75" customHeight="1">
      <c r="A168" s="254" t="s">
        <v>603</v>
      </c>
      <c r="B168" s="3" t="s">
        <v>1001</v>
      </c>
      <c r="D168" s="26" t="s">
        <v>1099</v>
      </c>
      <c r="E168" s="27">
        <v>0</v>
      </c>
      <c r="F168" s="27">
        <v>0</v>
      </c>
      <c r="G168" s="27">
        <v>0</v>
      </c>
      <c r="H168" s="27">
        <v>0</v>
      </c>
      <c r="I168" s="27">
        <v>4609.6500000000005</v>
      </c>
      <c r="J168" s="27">
        <v>0</v>
      </c>
      <c r="K168" s="27">
        <v>0</v>
      </c>
      <c r="L168" s="27">
        <v>0</v>
      </c>
      <c r="M168" s="27">
        <v>0</v>
      </c>
      <c r="N168" s="27">
        <v>6275.87</v>
      </c>
      <c r="O168" s="27">
        <v>0</v>
      </c>
      <c r="P168" s="27">
        <v>0</v>
      </c>
      <c r="Q168" s="3">
        <f>SUM(E168:P168)</f>
        <v>10885.52</v>
      </c>
      <c r="R168" s="39">
        <f>Q168/Summary!$Q$16</f>
        <v>1.3666651145474056E-4</v>
      </c>
      <c r="S168" s="35">
        <v>37970.189999999995</v>
      </c>
      <c r="T168" s="40">
        <f t="shared" ref="T168:T175" si="17">-IF(Q168-S168=0,0,(Q168-S168)/S168)</f>
        <v>0.71331404978484436</v>
      </c>
    </row>
    <row r="169" spans="1:20" s="3" customFormat="1" ht="25.4" customHeight="1">
      <c r="A169" s="54" t="s">
        <v>310</v>
      </c>
      <c r="B169" s="3" t="s">
        <v>1001</v>
      </c>
      <c r="D169" s="26" t="s">
        <v>311</v>
      </c>
      <c r="E169" s="27">
        <v>1583.13</v>
      </c>
      <c r="F169" s="27">
        <v>1583.13</v>
      </c>
      <c r="G169" s="27">
        <v>1583.13</v>
      </c>
      <c r="H169" s="27">
        <v>1583.13</v>
      </c>
      <c r="I169" s="27">
        <v>1583.13</v>
      </c>
      <c r="J169" s="27">
        <v>1583.13</v>
      </c>
      <c r="K169" s="27">
        <v>1583.13</v>
      </c>
      <c r="L169" s="27">
        <v>1583.13</v>
      </c>
      <c r="M169" s="27">
        <v>1583.13</v>
      </c>
      <c r="N169" s="27">
        <v>1583.13</v>
      </c>
      <c r="O169" s="27">
        <v>1583.13</v>
      </c>
      <c r="P169" s="27">
        <v>1583.13</v>
      </c>
      <c r="Q169" s="3">
        <f t="shared" ref="Q169:Q174" si="18">SUM(E169:P169)</f>
        <v>18997.560000000005</v>
      </c>
      <c r="R169" s="39">
        <f>Q169/Summary!$Q$16</f>
        <v>2.3851228525161147E-4</v>
      </c>
      <c r="S169" s="35">
        <v>311074.40999999997</v>
      </c>
      <c r="T169" s="40">
        <f t="shared" si="17"/>
        <v>0.93892920989547168</v>
      </c>
    </row>
    <row r="170" spans="1:20" s="3" customFormat="1" ht="25.4" customHeight="1">
      <c r="A170" s="254" t="s">
        <v>604</v>
      </c>
      <c r="B170" s="3" t="s">
        <v>1001</v>
      </c>
      <c r="D170" s="26" t="s">
        <v>313</v>
      </c>
      <c r="E170" s="27">
        <v>3800</v>
      </c>
      <c r="F170" s="27">
        <v>3800</v>
      </c>
      <c r="G170" s="27">
        <v>3800</v>
      </c>
      <c r="H170" s="27">
        <v>3800</v>
      </c>
      <c r="I170" s="27">
        <v>3800</v>
      </c>
      <c r="J170" s="27">
        <v>3800</v>
      </c>
      <c r="K170" s="27">
        <v>3800</v>
      </c>
      <c r="L170" s="27">
        <v>3800</v>
      </c>
      <c r="M170" s="27">
        <v>3800</v>
      </c>
      <c r="N170" s="27">
        <v>3800</v>
      </c>
      <c r="O170" s="27">
        <v>3800</v>
      </c>
      <c r="P170" s="27">
        <v>3800</v>
      </c>
      <c r="Q170" s="3">
        <f t="shared" si="18"/>
        <v>45600</v>
      </c>
      <c r="R170" s="39">
        <f>Q170/Summary!$Q$16</f>
        <v>5.7250300604253814E-4</v>
      </c>
      <c r="S170" s="35">
        <v>0</v>
      </c>
      <c r="T170" s="40" t="e">
        <f t="shared" si="17"/>
        <v>#DIV/0!</v>
      </c>
    </row>
    <row r="171" spans="1:20" s="3" customFormat="1" ht="25.4" customHeight="1">
      <c r="A171" s="254" t="s">
        <v>605</v>
      </c>
      <c r="B171" s="3" t="s">
        <v>1001</v>
      </c>
      <c r="D171" s="26" t="s">
        <v>315</v>
      </c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3">
        <f t="shared" ref="Q171:Q172" si="19">SUM(E171:P171)</f>
        <v>0</v>
      </c>
      <c r="R171" s="39">
        <f>Q171/Summary!$Q$16</f>
        <v>0</v>
      </c>
      <c r="S171" s="35">
        <v>311074.40999999997</v>
      </c>
      <c r="T171" s="40">
        <f t="shared" ref="T171:T172" si="20">-IF(Q171-S171=0,0,(Q171-S171)/S171)</f>
        <v>1</v>
      </c>
    </row>
    <row r="172" spans="1:20" s="3" customFormat="1" ht="25.4" customHeight="1">
      <c r="A172" s="254" t="s">
        <v>606</v>
      </c>
      <c r="B172" s="3" t="s">
        <v>1001</v>
      </c>
      <c r="D172" s="26" t="s">
        <v>317</v>
      </c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3">
        <f t="shared" si="19"/>
        <v>0</v>
      </c>
      <c r="R172" s="39">
        <f>Q172/Summary!$Q$16</f>
        <v>0</v>
      </c>
      <c r="S172" s="35">
        <v>0</v>
      </c>
      <c r="T172" s="40">
        <f t="shared" si="20"/>
        <v>0</v>
      </c>
    </row>
    <row r="173" spans="1:20" s="3" customFormat="1" ht="25.4" customHeight="1">
      <c r="A173" s="254" t="s">
        <v>1066</v>
      </c>
      <c r="B173" s="3" t="s">
        <v>1001</v>
      </c>
      <c r="D173" s="26" t="s">
        <v>1138</v>
      </c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3">
        <f t="shared" si="18"/>
        <v>0</v>
      </c>
      <c r="R173" s="39">
        <f>Q173/Summary!$Q$16</f>
        <v>0</v>
      </c>
      <c r="S173" s="35">
        <v>0</v>
      </c>
      <c r="T173" s="40">
        <f t="shared" si="17"/>
        <v>0</v>
      </c>
    </row>
    <row r="174" spans="1:20" s="3" customFormat="1" ht="25.4" customHeight="1">
      <c r="A174" s="254" t="s">
        <v>1066</v>
      </c>
      <c r="B174" s="3" t="s">
        <v>1001</v>
      </c>
      <c r="D174" s="26" t="s">
        <v>1070</v>
      </c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3">
        <f t="shared" si="18"/>
        <v>0</v>
      </c>
      <c r="R174" s="39">
        <f>Q174/Summary!$Q$16</f>
        <v>0</v>
      </c>
      <c r="S174" s="35">
        <v>0</v>
      </c>
      <c r="T174" s="40">
        <f t="shared" si="17"/>
        <v>0</v>
      </c>
    </row>
    <row r="175" spans="1:20" s="19" customFormat="1" ht="24.75" customHeight="1">
      <c r="A175" s="54"/>
      <c r="B175" s="51"/>
      <c r="D175" s="19" t="s">
        <v>318</v>
      </c>
      <c r="E175" s="52">
        <f>SUM(E168:E174)</f>
        <v>5383.13</v>
      </c>
      <c r="F175" s="52">
        <f t="shared" ref="F175:P175" si="21">SUM(F168:F174)</f>
        <v>5383.13</v>
      </c>
      <c r="G175" s="52">
        <f t="shared" si="21"/>
        <v>5383.13</v>
      </c>
      <c r="H175" s="52">
        <f t="shared" si="21"/>
        <v>5383.13</v>
      </c>
      <c r="I175" s="52">
        <f t="shared" si="21"/>
        <v>9992.7800000000007</v>
      </c>
      <c r="J175" s="52">
        <f t="shared" si="21"/>
        <v>5383.13</v>
      </c>
      <c r="K175" s="52">
        <f t="shared" si="21"/>
        <v>5383.13</v>
      </c>
      <c r="L175" s="52">
        <f t="shared" si="21"/>
        <v>5383.13</v>
      </c>
      <c r="M175" s="52">
        <f t="shared" si="21"/>
        <v>5383.13</v>
      </c>
      <c r="N175" s="52">
        <f t="shared" si="21"/>
        <v>11659</v>
      </c>
      <c r="O175" s="52">
        <f t="shared" si="21"/>
        <v>5383.13</v>
      </c>
      <c r="P175" s="52">
        <f t="shared" si="21"/>
        <v>5383.13</v>
      </c>
      <c r="Q175" s="52">
        <f>SUM(Q168:Q174)</f>
        <v>75483.08</v>
      </c>
      <c r="R175" s="39">
        <f>Q175/Summary!$Q$16</f>
        <v>9.4768180274889017E-4</v>
      </c>
      <c r="S175" s="35">
        <v>349044.6</v>
      </c>
      <c r="T175" s="40">
        <f t="shared" si="17"/>
        <v>0.78374373933875496</v>
      </c>
    </row>
    <row r="176" spans="1:20" s="3" customFormat="1" ht="25.4" customHeight="1">
      <c r="A176" s="50"/>
      <c r="D176" s="19"/>
      <c r="E176" s="53"/>
      <c r="F176" s="53"/>
      <c r="G176" s="53"/>
      <c r="H176" s="53"/>
      <c r="I176" s="53"/>
      <c r="S176" s="35"/>
      <c r="T176" s="40"/>
    </row>
    <row r="177" spans="1:20" s="3" customFormat="1" ht="25.4" customHeight="1">
      <c r="A177" s="254" t="s">
        <v>609</v>
      </c>
      <c r="B177" s="3" t="s">
        <v>1001</v>
      </c>
      <c r="D177" s="26" t="s">
        <v>320</v>
      </c>
      <c r="E177" s="63">
        <v>19079.400000000001</v>
      </c>
      <c r="F177" s="63">
        <v>19079.400000000001</v>
      </c>
      <c r="G177" s="63">
        <v>19079.400000000001</v>
      </c>
      <c r="H177" s="63">
        <v>19079.400000000001</v>
      </c>
      <c r="I177" s="63">
        <v>19079.400000000001</v>
      </c>
      <c r="J177" s="63">
        <v>19079.400000000001</v>
      </c>
      <c r="K177" s="63">
        <v>19079.400000000001</v>
      </c>
      <c r="L177" s="63">
        <v>19079.400000000001</v>
      </c>
      <c r="M177" s="63">
        <v>19079.400000000001</v>
      </c>
      <c r="N177" s="63">
        <v>19079.400000000001</v>
      </c>
      <c r="O177" s="63">
        <v>19079.400000000001</v>
      </c>
      <c r="P177" s="63">
        <v>19079.400000000001</v>
      </c>
      <c r="Q177" s="3">
        <f>SUM(E177:P177)</f>
        <v>228952.79999999996</v>
      </c>
      <c r="R177" s="39">
        <f>Q177/Summary!$Q$16</f>
        <v>2.874477329865263E-3</v>
      </c>
      <c r="S177" s="35">
        <v>206949.18</v>
      </c>
      <c r="T177" s="40">
        <f t="shared" ref="T177:T185" si="22">-IF(Q177-S177=0,0,(Q177-S177)/S177)</f>
        <v>-0.10632378441895719</v>
      </c>
    </row>
    <row r="178" spans="1:20" s="3" customFormat="1" ht="25.4" customHeight="1">
      <c r="A178" s="254" t="s">
        <v>610</v>
      </c>
      <c r="B178" s="3" t="s">
        <v>1001</v>
      </c>
      <c r="D178" s="26" t="s">
        <v>322</v>
      </c>
      <c r="E178" s="63">
        <v>7114.92</v>
      </c>
      <c r="F178" s="63">
        <v>7114.92</v>
      </c>
      <c r="G178" s="63">
        <v>7114.92</v>
      </c>
      <c r="H178" s="63">
        <v>7114.92</v>
      </c>
      <c r="I178" s="63">
        <v>7114.92</v>
      </c>
      <c r="J178" s="63">
        <v>7114.92</v>
      </c>
      <c r="K178" s="63">
        <v>7114.92</v>
      </c>
      <c r="L178" s="63">
        <v>7114.92</v>
      </c>
      <c r="M178" s="63">
        <v>7114.92</v>
      </c>
      <c r="N178" s="63">
        <v>7114.92</v>
      </c>
      <c r="O178" s="63">
        <v>7114.92</v>
      </c>
      <c r="P178" s="63">
        <v>7114.92</v>
      </c>
      <c r="Q178" s="3">
        <f t="shared" ref="Q178:Q184" si="23">SUM(E178:P178)</f>
        <v>85379.04</v>
      </c>
      <c r="R178" s="39">
        <f>Q178/Summary!$Q$16</f>
        <v>1.0719244967768882E-3</v>
      </c>
      <c r="S178" s="35">
        <v>155211.94</v>
      </c>
      <c r="T178" s="40">
        <f t="shared" si="22"/>
        <v>0.44991963891437736</v>
      </c>
    </row>
    <row r="179" spans="1:20" s="3" customFormat="1" ht="25.4" customHeight="1">
      <c r="A179" s="254" t="s">
        <v>611</v>
      </c>
      <c r="B179" s="3" t="s">
        <v>1001</v>
      </c>
      <c r="D179" s="26" t="s">
        <v>324</v>
      </c>
      <c r="E179" s="63">
        <v>1013.1999999999999</v>
      </c>
      <c r="F179" s="63">
        <v>1013.2</v>
      </c>
      <c r="G179" s="63">
        <v>1013.2</v>
      </c>
      <c r="H179" s="63">
        <v>1013.2</v>
      </c>
      <c r="I179" s="63">
        <v>1013.2</v>
      </c>
      <c r="J179" s="63">
        <v>1013.2</v>
      </c>
      <c r="K179" s="63">
        <v>1013.2</v>
      </c>
      <c r="L179" s="63">
        <v>1013.2</v>
      </c>
      <c r="M179" s="63">
        <v>1013.2</v>
      </c>
      <c r="N179" s="63">
        <v>1013.2</v>
      </c>
      <c r="O179" s="63">
        <v>1013.2</v>
      </c>
      <c r="P179" s="63">
        <v>1013.2</v>
      </c>
      <c r="Q179" s="3">
        <f t="shared" si="23"/>
        <v>12158.400000000001</v>
      </c>
      <c r="R179" s="39">
        <f>Q179/Summary!$Q$16</f>
        <v>1.5264738045323676E-4</v>
      </c>
      <c r="S179" s="35">
        <v>7390.9000000000015</v>
      </c>
      <c r="T179" s="40">
        <f t="shared" si="22"/>
        <v>-0.64504999391143147</v>
      </c>
    </row>
    <row r="180" spans="1:20" s="3" customFormat="1" ht="25.4" customHeight="1">
      <c r="A180" s="254" t="s">
        <v>612</v>
      </c>
      <c r="B180" s="3" t="s">
        <v>1001</v>
      </c>
      <c r="D180" s="26" t="s">
        <v>326</v>
      </c>
      <c r="E180" s="63">
        <v>506.59999999999997</v>
      </c>
      <c r="F180" s="63">
        <v>506.6</v>
      </c>
      <c r="G180" s="63">
        <v>506.6</v>
      </c>
      <c r="H180" s="63">
        <v>506.6</v>
      </c>
      <c r="I180" s="63">
        <v>506.6</v>
      </c>
      <c r="J180" s="63">
        <v>506.6</v>
      </c>
      <c r="K180" s="63">
        <v>506.6</v>
      </c>
      <c r="L180" s="63">
        <v>506.6</v>
      </c>
      <c r="M180" s="63">
        <v>506.6</v>
      </c>
      <c r="N180" s="63">
        <v>506.6</v>
      </c>
      <c r="O180" s="63">
        <v>506.6</v>
      </c>
      <c r="P180" s="63">
        <v>506.6</v>
      </c>
      <c r="Q180" s="3">
        <f t="shared" si="23"/>
        <v>6079.2000000000007</v>
      </c>
      <c r="R180" s="39">
        <f>Q180/Summary!$Q$16</f>
        <v>7.6323690226618381E-5</v>
      </c>
      <c r="S180" s="35">
        <v>3924.8700000000008</v>
      </c>
      <c r="T180" s="40">
        <f t="shared" si="22"/>
        <v>-0.54889206521489875</v>
      </c>
    </row>
    <row r="181" spans="1:20" s="3" customFormat="1" ht="25.4" customHeight="1">
      <c r="A181" s="254" t="s">
        <v>613</v>
      </c>
      <c r="B181" s="3" t="s">
        <v>1001</v>
      </c>
      <c r="D181" s="26" t="s">
        <v>328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3">
        <f t="shared" si="23"/>
        <v>0</v>
      </c>
      <c r="R181" s="39">
        <f>Q181/Summary!$Q$16</f>
        <v>0</v>
      </c>
      <c r="S181" s="35">
        <v>17738.670000000002</v>
      </c>
      <c r="T181" s="40">
        <f t="shared" si="22"/>
        <v>1</v>
      </c>
    </row>
    <row r="182" spans="1:20" s="3" customFormat="1" ht="25.4" customHeight="1">
      <c r="A182" s="254" t="s">
        <v>614</v>
      </c>
      <c r="B182" s="3" t="s">
        <v>1001</v>
      </c>
      <c r="D182" s="26" t="s">
        <v>330</v>
      </c>
      <c r="E182" s="63">
        <v>10132</v>
      </c>
      <c r="F182" s="63">
        <v>10132</v>
      </c>
      <c r="G182" s="63">
        <v>10132</v>
      </c>
      <c r="H182" s="63">
        <v>10132</v>
      </c>
      <c r="I182" s="63">
        <v>10132</v>
      </c>
      <c r="J182" s="63">
        <v>10132</v>
      </c>
      <c r="K182" s="63">
        <v>10132</v>
      </c>
      <c r="L182" s="63">
        <v>10132</v>
      </c>
      <c r="M182" s="63">
        <v>10132</v>
      </c>
      <c r="N182" s="63">
        <v>10132</v>
      </c>
      <c r="O182" s="63">
        <v>10132</v>
      </c>
      <c r="P182" s="63">
        <v>10132</v>
      </c>
      <c r="Q182" s="3">
        <f t="shared" si="23"/>
        <v>121584</v>
      </c>
      <c r="R182" s="39">
        <f>Q182/Summary!$Q$16</f>
        <v>1.5264738045323676E-3</v>
      </c>
      <c r="S182" s="35">
        <v>193889.75</v>
      </c>
      <c r="T182" s="40">
        <f t="shared" si="22"/>
        <v>0.37292198272471855</v>
      </c>
    </row>
    <row r="183" spans="1:20" s="3" customFormat="1" ht="25.4" customHeight="1">
      <c r="A183" s="254" t="s">
        <v>615</v>
      </c>
      <c r="B183" s="3" t="s">
        <v>1001</v>
      </c>
      <c r="D183" s="26" t="s">
        <v>332</v>
      </c>
      <c r="E183" s="63">
        <v>2533</v>
      </c>
      <c r="F183" s="63">
        <v>2533</v>
      </c>
      <c r="G183" s="63">
        <v>2533</v>
      </c>
      <c r="H183" s="63">
        <v>2533</v>
      </c>
      <c r="I183" s="63">
        <v>2533</v>
      </c>
      <c r="J183" s="63">
        <v>2533</v>
      </c>
      <c r="K183" s="63">
        <v>2533</v>
      </c>
      <c r="L183" s="63">
        <v>2533</v>
      </c>
      <c r="M183" s="63">
        <v>2533</v>
      </c>
      <c r="N183" s="63">
        <v>2533</v>
      </c>
      <c r="O183" s="63">
        <v>2533</v>
      </c>
      <c r="P183" s="63">
        <v>2533</v>
      </c>
      <c r="Q183" s="3">
        <f t="shared" si="23"/>
        <v>30396</v>
      </c>
      <c r="R183" s="39">
        <f>Q183/Summary!$Q$16</f>
        <v>3.8161845113309189E-4</v>
      </c>
      <c r="S183" s="35">
        <v>0</v>
      </c>
      <c r="T183" s="40" t="e">
        <f t="shared" si="22"/>
        <v>#DIV/0!</v>
      </c>
    </row>
    <row r="184" spans="1:20" s="3" customFormat="1" ht="25.4" customHeight="1">
      <c r="A184" s="254" t="s">
        <v>616</v>
      </c>
      <c r="B184" s="3" t="s">
        <v>1001</v>
      </c>
      <c r="D184" s="26" t="s">
        <v>334</v>
      </c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3">
        <f t="shared" si="23"/>
        <v>0</v>
      </c>
      <c r="R184" s="39">
        <f>Q184/Summary!$Q$16</f>
        <v>0</v>
      </c>
      <c r="S184" s="35">
        <v>0</v>
      </c>
      <c r="T184" s="40">
        <f t="shared" si="22"/>
        <v>0</v>
      </c>
    </row>
    <row r="185" spans="1:20" s="19" customFormat="1" ht="25.4" customHeight="1">
      <c r="A185" s="54"/>
      <c r="B185" s="51"/>
      <c r="D185" s="19" t="s">
        <v>335</v>
      </c>
      <c r="E185" s="45">
        <f>SUM(E177:E184)</f>
        <v>40379.119999999995</v>
      </c>
      <c r="F185" s="45">
        <f t="shared" ref="F185:P185" si="24">SUM(F177:F184)</f>
        <v>40379.119999999995</v>
      </c>
      <c r="G185" s="45">
        <f t="shared" si="24"/>
        <v>40379.119999999995</v>
      </c>
      <c r="H185" s="45">
        <f t="shared" si="24"/>
        <v>40379.119999999995</v>
      </c>
      <c r="I185" s="45">
        <f t="shared" si="24"/>
        <v>40379.119999999995</v>
      </c>
      <c r="J185" s="45">
        <f t="shared" si="24"/>
        <v>40379.119999999995</v>
      </c>
      <c r="K185" s="45">
        <f t="shared" si="24"/>
        <v>40379.119999999995</v>
      </c>
      <c r="L185" s="45">
        <f t="shared" si="24"/>
        <v>40379.119999999995</v>
      </c>
      <c r="M185" s="45">
        <f t="shared" si="24"/>
        <v>40379.119999999995</v>
      </c>
      <c r="N185" s="45">
        <f t="shared" si="24"/>
        <v>40379.119999999995</v>
      </c>
      <c r="O185" s="45">
        <f t="shared" si="24"/>
        <v>40379.119999999995</v>
      </c>
      <c r="P185" s="45">
        <f t="shared" si="24"/>
        <v>40379.119999999995</v>
      </c>
      <c r="Q185" s="45">
        <f t="shared" ref="Q185" si="25">SUM(Q177:Q184)</f>
        <v>484549.44</v>
      </c>
      <c r="R185" s="39">
        <f>Q185/Summary!$Q$16</f>
        <v>6.0834651529874662E-3</v>
      </c>
      <c r="S185" s="35">
        <v>585105.31000000006</v>
      </c>
      <c r="T185" s="40">
        <f t="shared" si="22"/>
        <v>0.17185943843169027</v>
      </c>
    </row>
    <row r="186" spans="1:20" s="19" customFormat="1" ht="25.4" customHeight="1">
      <c r="A186" s="54"/>
      <c r="B186" s="51"/>
      <c r="D186" s="21"/>
      <c r="E186" s="55"/>
      <c r="F186" s="55"/>
      <c r="G186" s="55"/>
      <c r="H186" s="55"/>
      <c r="I186" s="55"/>
      <c r="S186" s="35"/>
      <c r="T186" s="40"/>
    </row>
    <row r="187" spans="1:20" s="3" customFormat="1" ht="25.4" hidden="1" customHeight="1">
      <c r="A187" s="254" t="s">
        <v>617</v>
      </c>
      <c r="B187" s="3" t="s">
        <v>1001</v>
      </c>
      <c r="D187" s="26" t="s">
        <v>337</v>
      </c>
      <c r="E187" s="63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0</v>
      </c>
      <c r="P187" s="27">
        <v>0</v>
      </c>
      <c r="Q187" s="3">
        <f>SUM(E187:P187)</f>
        <v>0</v>
      </c>
      <c r="R187" s="39">
        <f>Q187/Summary!$Q$16</f>
        <v>0</v>
      </c>
      <c r="S187" s="35">
        <v>0</v>
      </c>
      <c r="T187" s="40">
        <f t="shared" ref="T187:T195" si="26">-IF(Q187-S187=0,0,(Q187-S187)/S187)</f>
        <v>0</v>
      </c>
    </row>
    <row r="188" spans="1:20" s="3" customFormat="1" ht="25.4" hidden="1" customHeight="1">
      <c r="A188" s="254" t="s">
        <v>618</v>
      </c>
      <c r="B188" s="3" t="s">
        <v>1001</v>
      </c>
      <c r="D188" s="3" t="s">
        <v>339</v>
      </c>
      <c r="E188" s="63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3">
        <f t="shared" ref="Q188:Q193" si="27">SUM(E188:P188)</f>
        <v>0</v>
      </c>
      <c r="R188" s="39">
        <f>Q188/Summary!$Q$16</f>
        <v>0</v>
      </c>
      <c r="S188" s="35">
        <v>0</v>
      </c>
      <c r="T188" s="40">
        <f t="shared" si="26"/>
        <v>0</v>
      </c>
    </row>
    <row r="189" spans="1:20" s="3" customFormat="1" ht="25.4" hidden="1" customHeight="1">
      <c r="A189" s="254" t="s">
        <v>619</v>
      </c>
      <c r="B189" s="3" t="s">
        <v>1001</v>
      </c>
      <c r="D189" s="26" t="s">
        <v>341</v>
      </c>
      <c r="E189" s="63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3">
        <f t="shared" si="27"/>
        <v>0</v>
      </c>
      <c r="R189" s="39">
        <f>Q189/Summary!$Q$16</f>
        <v>0</v>
      </c>
      <c r="S189" s="35">
        <v>0</v>
      </c>
      <c r="T189" s="40">
        <f t="shared" si="26"/>
        <v>0</v>
      </c>
    </row>
    <row r="190" spans="1:20" s="3" customFormat="1" ht="25.4" hidden="1" customHeight="1">
      <c r="A190" s="254" t="s">
        <v>620</v>
      </c>
      <c r="B190" s="3" t="s">
        <v>1001</v>
      </c>
      <c r="D190" s="26" t="s">
        <v>343</v>
      </c>
      <c r="E190" s="63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3">
        <f t="shared" si="27"/>
        <v>0</v>
      </c>
      <c r="R190" s="39">
        <f>Q190/Summary!$Q$16</f>
        <v>0</v>
      </c>
      <c r="S190" s="35">
        <v>0</v>
      </c>
      <c r="T190" s="40">
        <f t="shared" si="26"/>
        <v>0</v>
      </c>
    </row>
    <row r="191" spans="1:20" s="3" customFormat="1" ht="25.4" customHeight="1">
      <c r="A191" s="254" t="s">
        <v>621</v>
      </c>
      <c r="B191" s="3" t="s">
        <v>1001</v>
      </c>
      <c r="D191" s="26" t="s">
        <v>345</v>
      </c>
      <c r="E191" s="63">
        <v>840</v>
      </c>
      <c r="F191" s="63">
        <v>1120</v>
      </c>
      <c r="G191" s="63">
        <v>840</v>
      </c>
      <c r="H191" s="63">
        <v>840</v>
      </c>
      <c r="I191" s="63">
        <v>840</v>
      </c>
      <c r="J191" s="63">
        <v>840</v>
      </c>
      <c r="K191" s="63">
        <v>840</v>
      </c>
      <c r="L191" s="63">
        <v>840</v>
      </c>
      <c r="M191" s="63">
        <v>840</v>
      </c>
      <c r="N191" s="63">
        <v>840</v>
      </c>
      <c r="O191" s="63">
        <v>840</v>
      </c>
      <c r="P191" s="63">
        <v>840</v>
      </c>
      <c r="Q191" s="3">
        <f t="shared" si="27"/>
        <v>10360</v>
      </c>
      <c r="R191" s="39">
        <f>Q191/Summary!$Q$16</f>
        <v>1.3006866540790998E-4</v>
      </c>
      <c r="S191" s="35">
        <v>17394.580000000002</v>
      </c>
      <c r="T191" s="40">
        <f t="shared" si="26"/>
        <v>0.40441217896609177</v>
      </c>
    </row>
    <row r="192" spans="1:20" s="3" customFormat="1" ht="25.4" customHeight="1">
      <c r="A192" s="254" t="s">
        <v>346</v>
      </c>
      <c r="B192" s="3" t="s">
        <v>1001</v>
      </c>
      <c r="D192" s="26" t="s">
        <v>347</v>
      </c>
      <c r="E192" s="63">
        <v>4980.2199999999993</v>
      </c>
      <c r="F192" s="63">
        <v>4960.62</v>
      </c>
      <c r="G192" s="63">
        <v>4941.1599999999989</v>
      </c>
      <c r="H192" s="63">
        <v>4921.8400000000011</v>
      </c>
      <c r="I192" s="63">
        <v>4790.9399999999996</v>
      </c>
      <c r="J192" s="63">
        <v>4719.12</v>
      </c>
      <c r="K192" s="63">
        <v>4632.3200000000006</v>
      </c>
      <c r="L192" s="63">
        <v>4632.3200000000006</v>
      </c>
      <c r="M192" s="63">
        <v>4598.5800000000017</v>
      </c>
      <c r="N192" s="63">
        <v>4565.26</v>
      </c>
      <c r="O192" s="63">
        <v>4548.74</v>
      </c>
      <c r="P192" s="63">
        <v>4532.3599999999988</v>
      </c>
      <c r="Q192" s="3">
        <f t="shared" si="27"/>
        <v>56823.48</v>
      </c>
      <c r="R192" s="39">
        <f>Q192/Summary!$Q$16</f>
        <v>7.1341256828504486E-4</v>
      </c>
      <c r="S192" s="35">
        <v>181296.77000000002</v>
      </c>
      <c r="T192" s="40">
        <f t="shared" si="26"/>
        <v>0.68657202221528824</v>
      </c>
    </row>
    <row r="193" spans="1:20" s="3" customFormat="1" ht="25.4" customHeight="1">
      <c r="A193" s="3" t="s">
        <v>624</v>
      </c>
      <c r="B193" s="3" t="s">
        <v>1001</v>
      </c>
      <c r="D193" s="26" t="s">
        <v>349</v>
      </c>
      <c r="E193" s="63">
        <v>14745.5</v>
      </c>
      <c r="F193" s="63">
        <v>14502.459999999997</v>
      </c>
      <c r="G193" s="63">
        <v>14313.040000000003</v>
      </c>
      <c r="H193" s="63">
        <v>14377.719999999996</v>
      </c>
      <c r="I193" s="63">
        <v>14086.38</v>
      </c>
      <c r="J193" s="63">
        <v>13840.540000000003</v>
      </c>
      <c r="K193" s="63">
        <v>13728.819999999996</v>
      </c>
      <c r="L193" s="63">
        <v>13753.88</v>
      </c>
      <c r="M193" s="63">
        <v>13809.599999999997</v>
      </c>
      <c r="N193" s="63">
        <v>13911.939999999995</v>
      </c>
      <c r="O193" s="63">
        <v>13742.12</v>
      </c>
      <c r="P193" s="63">
        <v>13697.88</v>
      </c>
      <c r="Q193" s="3">
        <f t="shared" si="27"/>
        <v>168509.87999999998</v>
      </c>
      <c r="R193" s="39">
        <f>Q193/Summary!$Q$16</f>
        <v>2.1156230887690213E-3</v>
      </c>
      <c r="S193" s="35">
        <v>320850.85071111115</v>
      </c>
      <c r="T193" s="40">
        <f t="shared" si="26"/>
        <v>0.47480307555199996</v>
      </c>
    </row>
    <row r="194" spans="1:20" s="3" customFormat="1" ht="25.4" customHeight="1">
      <c r="A194" s="54"/>
      <c r="B194" s="51"/>
      <c r="D194" s="19" t="s">
        <v>350</v>
      </c>
      <c r="E194" s="52">
        <f>SUM(E187:E193)</f>
        <v>20565.72</v>
      </c>
      <c r="F194" s="52">
        <f t="shared" ref="F194:Q194" si="28">SUM(F187:F193)</f>
        <v>20583.079999999998</v>
      </c>
      <c r="G194" s="52">
        <f t="shared" si="28"/>
        <v>20094.2</v>
      </c>
      <c r="H194" s="52">
        <f t="shared" si="28"/>
        <v>20139.559999999998</v>
      </c>
      <c r="I194" s="52">
        <f t="shared" si="28"/>
        <v>19717.32</v>
      </c>
      <c r="J194" s="52">
        <f t="shared" si="28"/>
        <v>19399.660000000003</v>
      </c>
      <c r="K194" s="52">
        <f t="shared" si="28"/>
        <v>19201.139999999996</v>
      </c>
      <c r="L194" s="52">
        <f t="shared" si="28"/>
        <v>19226.2</v>
      </c>
      <c r="M194" s="52">
        <f t="shared" si="28"/>
        <v>19248.18</v>
      </c>
      <c r="N194" s="52">
        <f t="shared" si="28"/>
        <v>19317.199999999997</v>
      </c>
      <c r="O194" s="52">
        <f t="shared" si="28"/>
        <v>19130.86</v>
      </c>
      <c r="P194" s="52">
        <f t="shared" si="28"/>
        <v>19070.239999999998</v>
      </c>
      <c r="Q194" s="52">
        <f t="shared" si="28"/>
        <v>235693.36</v>
      </c>
      <c r="R194" s="39">
        <f>Q194/Summary!$Q$16</f>
        <v>2.9591043224619761E-3</v>
      </c>
      <c r="S194" s="35">
        <v>519542.20071111119</v>
      </c>
      <c r="T194" s="40">
        <f t="shared" si="26"/>
        <v>0.54634414744865722</v>
      </c>
    </row>
    <row r="195" spans="1:20" s="3" customFormat="1" ht="25.4" customHeight="1">
      <c r="A195" s="54"/>
      <c r="B195" s="51"/>
      <c r="D195" s="19" t="s">
        <v>351</v>
      </c>
      <c r="E195" s="52">
        <f>E166+E175+E185+E194</f>
        <v>192977.97</v>
      </c>
      <c r="F195" s="52">
        <f t="shared" ref="F195:Q195" si="29">F166+F175+F185+F194</f>
        <v>192995.33</v>
      </c>
      <c r="G195" s="52">
        <f t="shared" si="29"/>
        <v>192506.45</v>
      </c>
      <c r="H195" s="52">
        <f t="shared" si="29"/>
        <v>192551.81</v>
      </c>
      <c r="I195" s="52">
        <f t="shared" si="29"/>
        <v>196739.22</v>
      </c>
      <c r="J195" s="52">
        <f t="shared" si="29"/>
        <v>191811.91</v>
      </c>
      <c r="K195" s="52">
        <f t="shared" si="29"/>
        <v>191613.38999999998</v>
      </c>
      <c r="L195" s="52">
        <f t="shared" si="29"/>
        <v>191638.45</v>
      </c>
      <c r="M195" s="52">
        <f t="shared" si="29"/>
        <v>191660.43</v>
      </c>
      <c r="N195" s="52">
        <f t="shared" si="29"/>
        <v>198005.32</v>
      </c>
      <c r="O195" s="52">
        <f t="shared" si="29"/>
        <v>191543.11</v>
      </c>
      <c r="P195" s="52">
        <f t="shared" si="29"/>
        <v>191482.49</v>
      </c>
      <c r="Q195" s="52">
        <f t="shared" si="29"/>
        <v>2315525.88</v>
      </c>
      <c r="R195" s="39">
        <f>Q195/Summary!$Q$16</f>
        <v>2.9071173834852925E-2</v>
      </c>
      <c r="S195" s="35">
        <v>3285693.330711111</v>
      </c>
      <c r="T195" s="40">
        <f t="shared" si="26"/>
        <v>0.29527023768257188</v>
      </c>
    </row>
    <row r="196" spans="1:20" s="3" customFormat="1" ht="25.4" customHeight="1">
      <c r="A196" s="54"/>
      <c r="B196" s="51"/>
      <c r="D196" s="21"/>
      <c r="E196" s="53"/>
      <c r="F196" s="53"/>
      <c r="G196" s="53"/>
      <c r="H196" s="53"/>
      <c r="I196" s="53"/>
      <c r="S196" s="35"/>
      <c r="T196" s="40"/>
    </row>
    <row r="197" spans="1:20" s="3" customFormat="1" ht="25.4" customHeight="1">
      <c r="A197" s="50" t="s">
        <v>108</v>
      </c>
      <c r="B197" s="3" t="s">
        <v>1001</v>
      </c>
      <c r="D197" s="19" t="s">
        <v>354</v>
      </c>
      <c r="E197" s="277">
        <v>14</v>
      </c>
      <c r="F197" s="277">
        <v>14</v>
      </c>
      <c r="G197" s="277">
        <v>14</v>
      </c>
      <c r="H197" s="277">
        <v>14</v>
      </c>
      <c r="I197" s="277">
        <v>14</v>
      </c>
      <c r="J197" s="277">
        <v>14</v>
      </c>
      <c r="K197" s="277">
        <v>14</v>
      </c>
      <c r="L197" s="277">
        <v>14</v>
      </c>
      <c r="M197" s="277">
        <v>14</v>
      </c>
      <c r="N197" s="277">
        <v>14</v>
      </c>
      <c r="O197" s="277">
        <v>14</v>
      </c>
      <c r="P197" s="277">
        <v>14</v>
      </c>
      <c r="Q197" s="78">
        <f>SUM(E197:P197)/12</f>
        <v>14</v>
      </c>
      <c r="S197" s="35">
        <v>21.166666666666668</v>
      </c>
      <c r="T197" s="40">
        <f>-IF(Q197-S197=0,0,(Q197-S197)/S197)</f>
        <v>0.3385826771653544</v>
      </c>
    </row>
  </sheetData>
  <phoneticPr fontId="56" type="noConversion"/>
  <dataValidations count="44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381.3_x000d__x000a_" sqref="F50:P50">
      <formula1>0</formula1>
      <formula2>300</formula2>
    </dataValidation>
    <dataValidation type="textLength" errorStyle="information" allowBlank="1" showInputMessage="1" showErrorMessage="1" error="XLBVal:2=0_x000d__x000a_" sqref="E44:P49 F13:F14 Q15:Q70 Q72:Q157 Q164:Q165 Q187:Q193 E15:P25 E27:P42 F79:P86 E94:P156 E171:P174 E88:P92 E71:Q71 E50:E67 E79:E85 F51:P67 E184:P184 E73:P73 E75:P77 E187:P192">
      <formula1>0</formula1>
      <formula2>300</formula2>
    </dataValidation>
    <dataValidation type="textLength" errorStyle="information" allowBlank="1" showInputMessage="1" showErrorMessage="1" error="XLBVal:6=19028.05_x000d__x000a_" sqref="E169:P169">
      <formula1>0</formula1>
      <formula2>300</formula2>
    </dataValidation>
    <dataValidation type="textLength" errorStyle="information" allowBlank="1" showInputMessage="1" showErrorMessage="1" error="XLBVal:6=19901.2_x000d__x000a_" sqref="E87:P87">
      <formula1>0</formula1>
      <formula2>300</formula2>
    </dataValidation>
    <dataValidation type="textLength" errorStyle="information" allowBlank="1" showInputMessage="1" showErrorMessage="1" error="XLBVal:6=0_x000d__x000a_" sqref="E158:Q158">
      <formula1>0</formula1>
      <formula2>300</formula2>
    </dataValidation>
    <dataValidation type="textLength" errorStyle="information" allowBlank="1" showInputMessage="1" showErrorMessage="1" error="XLBVal:6=3239.86_x000d__x000a_" sqref="E159:Q159">
      <formula1>0</formula1>
      <formula2>300</formula2>
    </dataValidation>
    <dataValidation type="textLength" errorStyle="information" allowBlank="1" showInputMessage="1" showErrorMessage="1" error="XLBVal:6=314538.87_x000d__x000a_" sqref="E160:P160">
      <formula1>0</formula1>
      <formula2>300</formula2>
    </dataValidation>
    <dataValidation type="textLength" errorStyle="information" allowBlank="1" showInputMessage="1" showErrorMessage="1" error="XLBVal:6=122300_x000d__x000a_" sqref="E164:P164">
      <formula1>0</formula1>
      <formula2>300</formula2>
    </dataValidation>
    <dataValidation type="textLength" errorStyle="information" allowBlank="1" showInputMessage="1" showErrorMessage="1" error="XLBVal:6=48500_x000d__x000a_" sqref="E165:P165">
      <formula1>0</formula1>
      <formula2>300</formula2>
    </dataValidation>
    <dataValidation type="textLength" errorStyle="information" allowBlank="1" showInputMessage="1" showErrorMessage="1" sqref="F194:Q195 H186:I186 E162:I163 F196:I196 H176:I176 E194:E196">
      <formula1>0</formula1>
      <formula2>300</formula2>
    </dataValidation>
    <dataValidation type="textLength" errorStyle="information" allowBlank="1" showInputMessage="1" showErrorMessage="1" error="XLBVal:6=1589.25_x000d__x000a_" sqref="E168:P168">
      <formula1>0</formula1>
      <formula2>300</formula2>
    </dataValidation>
    <dataValidation type="textLength" errorStyle="information" allowBlank="1" showInputMessage="1" showErrorMessage="1" error="XLBVal:6=2755_x000d__x000a_" sqref="E170:P170">
      <formula1>0</formula1>
      <formula2>300</formula2>
    </dataValidation>
    <dataValidation type="textLength" errorStyle="information" allowBlank="1" showInputMessage="1" showErrorMessage="1" error="XLBVal:6=3678_x000d__x000a_" sqref="F186:G186 F185:Q185 E185:E186">
      <formula1>0</formula1>
      <formula2>300</formula2>
    </dataValidation>
    <dataValidation type="textLength" errorStyle="information" allowBlank="1" showInputMessage="1" showErrorMessage="1" error="XLBVal:6=1260_x000d__x000a_" sqref="Q197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69013_x000d__x000a_" sqref="Q168:Q174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4567.6_x000d__x000a_" sqref="E78:P78">
      <formula1>0</formula1>
      <formula2>300</formula2>
    </dataValidation>
    <dataValidation type="textLength" errorStyle="information" allowBlank="1" showInputMessage="1" showErrorMessage="1" error="XLBVal:6=367.6_x000d__x000a_" sqref="E181:P181">
      <formula1>0</formula1>
      <formula2>300</formula2>
    </dataValidation>
    <dataValidation type="textLength" errorStyle="information" allowBlank="1" showInputMessage="1" showErrorMessage="1" error="XLBVal:6=981.03_x000d__x000a_" sqref="E183:P183">
      <formula1>0</formula1>
      <formula2>300</formula2>
    </dataValidation>
    <dataValidation type="textLength" errorStyle="information" allowBlank="1" showInputMessage="1" showErrorMessage="1" error="XLBVal:6=355.75_x000d__x000a_" sqref="E93:P93">
      <formula1>0</formula1>
      <formula2>300</formula2>
    </dataValidation>
    <dataValidation type="textLength" errorStyle="information" allowBlank="1" showInputMessage="1" showErrorMessage="1" error="XLBVal:6=381.42_x000d__x000a_" sqref="E26:P26">
      <formula1>0</formula1>
      <formula2>300</formula2>
    </dataValidation>
    <dataValidation type="textLength" errorStyle="information" allowBlank="1" showInputMessage="1" showErrorMessage="1" error="XLBVal:6=1669.84_x000d__x000a_" sqref="E70:P70">
      <formula1>0</formula1>
      <formula2>300</formula2>
    </dataValidation>
    <dataValidation type="textLength" errorStyle="information" allowBlank="1" showInputMessage="1" showErrorMessage="1" error="XLBVal:6=1985.91_x000d__x000a_" sqref="E193:P193">
      <formula1>0</formula1>
      <formula2>300</formula2>
    </dataValidation>
    <dataValidation type="textLength" errorStyle="information" allowBlank="1" showInputMessage="1" showErrorMessage="1" error="XLBVal:6=5_x000d__x000a_" sqref="E197:P197">
      <formula1>0</formula1>
      <formula2>300</formula2>
    </dataValidation>
    <dataValidation type="textLength" errorStyle="information" allowBlank="1" showInputMessage="1" showErrorMessage="1" error="XLBVal:6=4850_x000d__x000a_" sqref="E182:P182">
      <formula1>0</formula1>
      <formula2>300</formula2>
    </dataValidation>
    <dataValidation type="textLength" errorStyle="information" allowBlank="1" showInputMessage="1" showErrorMessage="1" error="XLBVal:6=184.78_x000d__x000a_" sqref="E180:P180">
      <formula1>0</formula1>
      <formula2>300</formula2>
    </dataValidation>
    <dataValidation type="textLength" errorStyle="information" allowBlank="1" showInputMessage="1" showErrorMessage="1" error="XLBVal:6=230.97_x000d__x000a_" sqref="E179:P179">
      <formula1>0</formula1>
      <formula2>300</formula2>
    </dataValidation>
    <dataValidation type="textLength" errorStyle="information" allowBlank="1" showInputMessage="1" showErrorMessage="1" error="XLBVal:6=3675.92_x000d__x000a_" sqref="E178:P178">
      <formula1>0</formula1>
      <formula2>300</formula2>
    </dataValidation>
    <dataValidation type="textLength" errorStyle="information" allowBlank="1" showInputMessage="1" showErrorMessage="1" error="XLBVal:6=7390.88_x000d__x000a_" sqref="E177:P177">
      <formula1>0</formula1>
      <formula2>300</formula2>
    </dataValidation>
    <dataValidation type="textLength" errorStyle="information" allowBlank="1" showInputMessage="1" showErrorMessage="1" error="XLBVal:6=862.56_x000d__x000a_" sqref="E72:P72">
      <formula1>0</formula1>
      <formula2>300</formula2>
    </dataValidation>
    <dataValidation type="textLength" errorStyle="information" allowBlank="1" showInputMessage="1" showErrorMessage="1" error="XLBVal:6=235.64_x000d__x000a_" sqref="E43:P43">
      <formula1>0</formula1>
      <formula2>300</formula2>
    </dataValidation>
    <dataValidation type="textLength" errorStyle="information" allowBlank="1" showInputMessage="1" showErrorMessage="1" error="XLBVal:6=200_x000d__x000a_" sqref="E157:P157">
      <formula1>0</formula1>
      <formula2>300</formula2>
    </dataValidation>
    <dataValidation type="textLength" errorStyle="information" allowBlank="1" showInputMessage="1" showErrorMessage="1" error="XLBVal:6=-14.14_x000d__x000a_" sqref="E86">
      <formula1>0</formula1>
      <formula2>300</formula2>
    </dataValidation>
    <dataValidation type="textLength" errorStyle="information" allowBlank="1" showInputMessage="1" showErrorMessage="1" error="XLBVal:6=139.61_x000d__x000a_" sqref="E74:P74">
      <formula1>0</formula1>
      <formula2>300</formula2>
    </dataValidation>
    <dataValidation type="textLength" errorStyle="information" allowBlank="1" showInputMessage="1" showErrorMessage="1" error="XLBVal:6=269.91_x000d__x000a_" sqref="E69:P69">
      <formula1>0</formula1>
      <formula2>300</formula2>
    </dataValidation>
    <dataValidation type="textLength" errorStyle="information" allowBlank="1" showInputMessage="1" showErrorMessage="1" error="XLBVal:6=96_x000d__x000a_" sqref="E68:P68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pageSetUpPr fitToPage="1"/>
  </sheetPr>
  <dimension ref="A1:AB323"/>
  <sheetViews>
    <sheetView zoomScale="55" zoomScaleNormal="55" zoomScaleSheetLayoutView="40" workbookViewId="0">
      <pane xSplit="4" ySplit="12" topLeftCell="E79" activePane="bottomRight" state="frozen"/>
      <selection activeCell="N90" sqref="N90"/>
      <selection pane="topRight" activeCell="N90" sqref="N90"/>
      <selection pane="bottomLeft" activeCell="N90" sqref="N90"/>
      <selection pane="bottomRight" activeCell="A83" sqref="A83:XFD83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6.453125" style="6" customWidth="1" collapsed="1"/>
    <col min="5" max="5" width="19.90625" style="7" customWidth="1"/>
    <col min="6" max="6" width="23.453125" style="7" customWidth="1"/>
    <col min="7" max="9" width="19.90625" style="7" customWidth="1"/>
    <col min="10" max="12" width="19.90625" style="5" customWidth="1"/>
    <col min="13" max="16" width="20.90625" style="5" customWidth="1"/>
    <col min="17" max="17" width="26.08984375" style="5" customWidth="1"/>
    <col min="18" max="18" width="12" style="5" customWidth="1"/>
    <col min="19" max="19" width="22.453125" style="8" hidden="1" customWidth="1"/>
    <col min="20" max="20" width="22.453125" style="5" hidden="1" customWidth="1"/>
    <col min="21" max="21" width="8.90625" style="5"/>
    <col min="22" max="22" width="20.36328125" style="5" customWidth="1"/>
    <col min="23" max="23" width="13.08984375" style="5" bestFit="1" customWidth="1"/>
    <col min="24" max="16384" width="8.90625" style="5"/>
  </cols>
  <sheetData>
    <row r="1" spans="1:20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</row>
    <row r="2" spans="1:20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</row>
    <row r="3" spans="1:20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</row>
    <row r="4" spans="1:20" s="2" customFormat="1" ht="25.4" customHeight="1">
      <c r="D4" s="10" t="s">
        <v>15</v>
      </c>
      <c r="E4" s="280"/>
      <c r="F4" s="281"/>
      <c r="G4" s="12"/>
      <c r="H4" s="12"/>
      <c r="I4" s="12"/>
      <c r="J4" s="12"/>
      <c r="K4" s="12"/>
      <c r="L4" s="12"/>
      <c r="M4" s="12"/>
      <c r="N4" s="12"/>
      <c r="O4" s="12"/>
      <c r="P4" s="12"/>
      <c r="S4" s="33"/>
    </row>
    <row r="5" spans="1:20" s="2" customFormat="1" ht="25.4" customHeight="1">
      <c r="D5" s="10" t="s">
        <v>16</v>
      </c>
      <c r="E5" s="280"/>
      <c r="F5" s="281"/>
      <c r="G5" s="12"/>
      <c r="H5" s="12"/>
      <c r="I5" s="12"/>
      <c r="J5" s="12"/>
      <c r="K5" s="12"/>
      <c r="L5" s="12"/>
      <c r="M5" s="12"/>
      <c r="N5" s="12"/>
      <c r="O5" s="12"/>
      <c r="P5" s="12"/>
      <c r="S5" s="33"/>
    </row>
    <row r="6" spans="1:20" s="2" customFormat="1" ht="25.4" customHeight="1">
      <c r="D6" s="14" t="s">
        <v>1003</v>
      </c>
      <c r="E6" s="13"/>
      <c r="F6" s="13"/>
      <c r="G6" s="13"/>
      <c r="H6" s="13"/>
      <c r="I6" s="13"/>
      <c r="S6" s="33"/>
    </row>
    <row r="7" spans="1:20" s="2" customFormat="1" ht="25.4" customHeight="1">
      <c r="D7" s="199">
        <f>Parameter!H4</f>
        <v>2025</v>
      </c>
      <c r="E7" s="13"/>
      <c r="F7" s="13"/>
      <c r="G7" s="13"/>
      <c r="H7" s="13"/>
      <c r="I7" s="13"/>
      <c r="S7" s="33"/>
    </row>
    <row r="8" spans="1:20" ht="25.4" customHeight="1">
      <c r="D8" s="16"/>
    </row>
    <row r="9" spans="1:20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0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0" s="3" customFormat="1" ht="25.4" customHeight="1">
      <c r="D11" s="21"/>
      <c r="E11" s="22"/>
      <c r="F11" s="22"/>
      <c r="G11" s="22"/>
      <c r="H11" s="23"/>
      <c r="I11" s="23"/>
      <c r="S11" s="35"/>
    </row>
    <row r="12" spans="1:20" s="3" customFormat="1" ht="25.4" customHeight="1">
      <c r="A12" s="3" t="s">
        <v>466</v>
      </c>
      <c r="B12" s="3" t="s">
        <v>1004</v>
      </c>
      <c r="D12" s="21" t="s">
        <v>139</v>
      </c>
      <c r="E12" s="43">
        <f>E196</f>
        <v>106833.22</v>
      </c>
      <c r="F12" s="43">
        <f t="shared" ref="F12:P12" si="0">F196</f>
        <v>106843.14</v>
      </c>
      <c r="G12" s="43">
        <f t="shared" si="0"/>
        <v>106563.78</v>
      </c>
      <c r="H12" s="43">
        <f t="shared" si="0"/>
        <v>106589.7</v>
      </c>
      <c r="I12" s="43">
        <f t="shared" si="0"/>
        <v>106348.42</v>
      </c>
      <c r="J12" s="43">
        <f t="shared" si="0"/>
        <v>106166.90000000001</v>
      </c>
      <c r="K12" s="43">
        <f t="shared" si="0"/>
        <v>106053.46</v>
      </c>
      <c r="L12" s="43">
        <f t="shared" si="0"/>
        <v>106067.78</v>
      </c>
      <c r="M12" s="43">
        <f t="shared" si="0"/>
        <v>106080.34</v>
      </c>
      <c r="N12" s="43">
        <f t="shared" si="0"/>
        <v>106119.78</v>
      </c>
      <c r="O12" s="43">
        <f t="shared" si="0"/>
        <v>106013.3</v>
      </c>
      <c r="P12" s="43">
        <f t="shared" si="0"/>
        <v>105978.66</v>
      </c>
      <c r="Q12" s="43">
        <f>SUM(E12:P12)</f>
        <v>1275658.48</v>
      </c>
      <c r="R12" s="39">
        <v>7.1902137251007261E-2</v>
      </c>
      <c r="S12" s="35"/>
      <c r="T12" s="40" t="e">
        <f>-IF(Q12-S12=0,0,(Q12-S12)/S12)</f>
        <v>#DIV/0!</v>
      </c>
    </row>
    <row r="13" spans="1:20" s="3" customFormat="1" ht="25.4" customHeight="1">
      <c r="D13" s="26"/>
      <c r="E13" s="24"/>
      <c r="F13" s="24"/>
      <c r="G13" s="24"/>
      <c r="H13" s="25"/>
      <c r="I13" s="25"/>
      <c r="S13" s="35"/>
      <c r="T13" s="40"/>
    </row>
    <row r="14" spans="1:20" s="3" customFormat="1" ht="25.4" customHeight="1">
      <c r="D14" s="21" t="s">
        <v>140</v>
      </c>
      <c r="E14" s="24"/>
      <c r="F14" s="24"/>
      <c r="G14" s="24"/>
      <c r="H14" s="25"/>
      <c r="I14" s="25"/>
      <c r="S14" s="35"/>
      <c r="T14" s="40"/>
    </row>
    <row r="15" spans="1:20" s="3" customFormat="1" ht="25.4" hidden="1" customHeight="1">
      <c r="A15" s="3" t="s">
        <v>468</v>
      </c>
      <c r="B15" s="3" t="s">
        <v>1004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3">
        <f>SUM(E15:P15)</f>
        <v>0</v>
      </c>
      <c r="R15" s="39">
        <v>0</v>
      </c>
      <c r="S15" s="35"/>
      <c r="T15" s="40">
        <f t="shared" ref="T15:T22" si="1">IF(Q15-S15=0,0,(Q15-S15)/S15)</f>
        <v>0</v>
      </c>
    </row>
    <row r="16" spans="1:20" s="3" customFormat="1" ht="25.4" hidden="1" customHeight="1">
      <c r="A16" s="3" t="s">
        <v>470</v>
      </c>
      <c r="B16" s="3" t="s">
        <v>1004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3">
        <f t="shared" ref="Q16:Q79" si="2">SUM(E16:P16)</f>
        <v>0</v>
      </c>
      <c r="R16" s="39">
        <v>0</v>
      </c>
      <c r="S16" s="35"/>
      <c r="T16" s="40">
        <f t="shared" si="1"/>
        <v>0</v>
      </c>
    </row>
    <row r="17" spans="1:28" s="3" customFormat="1" ht="25.4" hidden="1" customHeight="1">
      <c r="A17" s="3" t="s">
        <v>472</v>
      </c>
      <c r="B17" s="3" t="s">
        <v>1004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3">
        <f t="shared" si="2"/>
        <v>0</v>
      </c>
      <c r="R17" s="39">
        <v>0</v>
      </c>
      <c r="S17" s="35"/>
      <c r="T17" s="40">
        <f t="shared" si="1"/>
        <v>0</v>
      </c>
    </row>
    <row r="18" spans="1:28" s="3" customFormat="1" ht="25.4" hidden="1" customHeight="1">
      <c r="A18" s="3" t="s">
        <v>474</v>
      </c>
      <c r="B18" s="3" t="s">
        <v>1004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3">
        <f t="shared" si="2"/>
        <v>0</v>
      </c>
      <c r="R18" s="39">
        <v>0</v>
      </c>
      <c r="S18" s="35"/>
      <c r="T18" s="40">
        <f t="shared" si="1"/>
        <v>0</v>
      </c>
    </row>
    <row r="19" spans="1:28" s="3" customFormat="1" ht="25.4" hidden="1" customHeight="1">
      <c r="A19" s="3" t="s">
        <v>476</v>
      </c>
      <c r="B19" s="3" t="s">
        <v>1004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3">
        <f t="shared" si="2"/>
        <v>0</v>
      </c>
      <c r="R19" s="39">
        <v>0</v>
      </c>
      <c r="S19" s="35"/>
      <c r="T19" s="40">
        <f t="shared" si="1"/>
        <v>0</v>
      </c>
    </row>
    <row r="20" spans="1:28" s="3" customFormat="1" ht="25.4" hidden="1" customHeight="1">
      <c r="A20" s="3" t="s">
        <v>478</v>
      </c>
      <c r="B20" s="3" t="s">
        <v>1004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3">
        <f t="shared" si="2"/>
        <v>0</v>
      </c>
      <c r="R20" s="39">
        <v>0</v>
      </c>
      <c r="S20" s="35"/>
      <c r="T20" s="40">
        <f t="shared" si="1"/>
        <v>0</v>
      </c>
    </row>
    <row r="21" spans="1:28" s="3" customFormat="1" ht="25.4" hidden="1" customHeight="1">
      <c r="A21" s="3" t="s">
        <v>480</v>
      </c>
      <c r="B21" s="3" t="s">
        <v>1004</v>
      </c>
      <c r="D21" s="26" t="s">
        <v>481</v>
      </c>
      <c r="E21" s="24"/>
      <c r="F21" s="24"/>
      <c r="G21" s="24"/>
      <c r="H21" s="25"/>
      <c r="I21" s="25"/>
      <c r="J21" s="323"/>
      <c r="K21" s="323"/>
      <c r="L21" s="323"/>
      <c r="M21" s="323"/>
      <c r="N21" s="323"/>
      <c r="O21" s="323"/>
      <c r="P21" s="323"/>
      <c r="Q21" s="3">
        <f t="shared" si="2"/>
        <v>0</v>
      </c>
      <c r="R21" s="39">
        <v>0</v>
      </c>
      <c r="S21" s="35"/>
      <c r="T21" s="40">
        <f t="shared" si="1"/>
        <v>0</v>
      </c>
    </row>
    <row r="22" spans="1:28" s="3" customFormat="1" ht="25.4" hidden="1" customHeight="1">
      <c r="A22" s="3" t="s">
        <v>482</v>
      </c>
      <c r="B22" s="3" t="s">
        <v>1004</v>
      </c>
      <c r="D22" s="29" t="s">
        <v>483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">
        <f t="shared" si="2"/>
        <v>0</v>
      </c>
      <c r="R22" s="39">
        <v>0</v>
      </c>
      <c r="S22" s="35"/>
      <c r="T22" s="40">
        <f t="shared" si="1"/>
        <v>0</v>
      </c>
    </row>
    <row r="23" spans="1:28" s="3" customFormat="1" ht="25.4" customHeight="1">
      <c r="A23" s="3" t="s">
        <v>484</v>
      </c>
      <c r="B23" s="3" t="s">
        <v>1004</v>
      </c>
      <c r="D23" s="26" t="s">
        <v>485</v>
      </c>
      <c r="E23" s="24"/>
      <c r="F23" s="24"/>
      <c r="G23" s="24"/>
      <c r="H23" s="25"/>
      <c r="I23" s="25"/>
      <c r="J23" s="323"/>
      <c r="K23" s="323"/>
      <c r="L23" s="323"/>
      <c r="M23" s="323"/>
      <c r="N23" s="323"/>
      <c r="O23" s="323"/>
      <c r="P23" s="323"/>
      <c r="Q23" s="3">
        <f t="shared" si="2"/>
        <v>0</v>
      </c>
      <c r="R23" s="39">
        <v>0</v>
      </c>
      <c r="S23" s="35"/>
      <c r="T23" s="40">
        <f t="shared" ref="T23:T86" si="3">-IF(Q23-S23=0,0,(Q23-S23)/S23)</f>
        <v>0</v>
      </c>
      <c r="V23" s="325"/>
      <c r="W23" s="323"/>
      <c r="X23" s="323"/>
      <c r="Y23" s="323"/>
      <c r="Z23" s="323"/>
      <c r="AA23" s="323"/>
      <c r="AB23" s="323"/>
    </row>
    <row r="24" spans="1:28" s="3" customFormat="1" ht="25.4" customHeight="1">
      <c r="A24" s="3" t="s">
        <v>486</v>
      </c>
      <c r="B24" s="3" t="s">
        <v>1004</v>
      </c>
      <c r="D24" s="26" t="s">
        <v>487</v>
      </c>
      <c r="E24" s="27">
        <v>500</v>
      </c>
      <c r="F24" s="27">
        <v>500</v>
      </c>
      <c r="G24" s="27">
        <v>500</v>
      </c>
      <c r="H24" s="27"/>
      <c r="I24" s="27">
        <v>500</v>
      </c>
      <c r="J24" s="27"/>
      <c r="K24" s="27"/>
      <c r="L24" s="27"/>
      <c r="M24" s="27"/>
      <c r="N24" s="27">
        <v>500</v>
      </c>
      <c r="O24" s="27"/>
      <c r="P24" s="27"/>
      <c r="Q24" s="3">
        <f t="shared" si="2"/>
        <v>2500</v>
      </c>
      <c r="R24" s="39">
        <v>1.3536731288073093E-4</v>
      </c>
      <c r="S24" s="35"/>
      <c r="T24" s="40" t="e">
        <f t="shared" si="3"/>
        <v>#DIV/0!</v>
      </c>
      <c r="V24" s="323" t="s">
        <v>1165</v>
      </c>
      <c r="W24" s="323"/>
      <c r="X24" s="323"/>
      <c r="Y24" s="323"/>
      <c r="Z24" s="323"/>
      <c r="AA24" s="323"/>
      <c r="AB24" s="323"/>
    </row>
    <row r="25" spans="1:28" s="3" customFormat="1" ht="25.4" customHeight="1">
      <c r="A25" s="3" t="s">
        <v>488</v>
      </c>
      <c r="B25" s="3" t="s">
        <v>1004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">
        <f t="shared" si="2"/>
        <v>0</v>
      </c>
      <c r="R25" s="39">
        <v>0</v>
      </c>
      <c r="S25" s="35"/>
      <c r="T25" s="40">
        <f t="shared" si="3"/>
        <v>0</v>
      </c>
      <c r="V25" s="323"/>
      <c r="W25" s="323"/>
      <c r="X25" s="323"/>
      <c r="Y25" s="323"/>
      <c r="Z25" s="323"/>
      <c r="AA25" s="323"/>
      <c r="AB25" s="323"/>
    </row>
    <row r="26" spans="1:28" s="3" customFormat="1" ht="25.4" customHeight="1">
      <c r="A26" s="3" t="s">
        <v>490</v>
      </c>
      <c r="B26" s="3" t="s">
        <v>1004</v>
      </c>
      <c r="D26" s="26" t="s">
        <v>491</v>
      </c>
      <c r="E26" s="27"/>
      <c r="F26" s="27"/>
      <c r="G26" s="27"/>
      <c r="H26" s="27">
        <v>4000</v>
      </c>
      <c r="I26" s="27">
        <v>4000</v>
      </c>
      <c r="J26" s="27">
        <v>4000</v>
      </c>
      <c r="K26" s="27"/>
      <c r="L26" s="27"/>
      <c r="M26" s="27"/>
      <c r="N26" s="27">
        <v>4000</v>
      </c>
      <c r="O26" s="27">
        <v>4000</v>
      </c>
      <c r="P26" s="27">
        <v>4000</v>
      </c>
      <c r="Q26" s="3">
        <f t="shared" si="2"/>
        <v>24000</v>
      </c>
      <c r="R26" s="39">
        <v>1.2995262036550167E-3</v>
      </c>
      <c r="S26" s="35"/>
      <c r="T26" s="40" t="e">
        <f t="shared" si="3"/>
        <v>#DIV/0!</v>
      </c>
      <c r="V26" s="325" t="s">
        <v>1166</v>
      </c>
      <c r="W26" s="323"/>
      <c r="X26" s="323"/>
      <c r="Y26" s="323"/>
      <c r="Z26" s="323"/>
      <c r="AA26" s="323"/>
      <c r="AB26" s="323"/>
    </row>
    <row r="27" spans="1:28" s="3" customFormat="1" ht="25.4" hidden="1" customHeight="1">
      <c r="A27" s="3" t="s">
        <v>492</v>
      </c>
      <c r="B27" s="3" t="s">
        <v>1004</v>
      </c>
      <c r="D27" s="26" t="s">
        <v>493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>
        <f t="shared" si="2"/>
        <v>0</v>
      </c>
      <c r="R27" s="39">
        <v>0</v>
      </c>
      <c r="S27" s="35"/>
      <c r="T27" s="40">
        <f t="shared" si="3"/>
        <v>0</v>
      </c>
      <c r="V27" s="323"/>
      <c r="W27" s="323"/>
      <c r="X27" s="323"/>
      <c r="Y27" s="323"/>
      <c r="Z27" s="323"/>
      <c r="AA27" s="323"/>
      <c r="AB27" s="323"/>
    </row>
    <row r="28" spans="1:28" s="3" customFormat="1" ht="25.4" hidden="1" customHeight="1">
      <c r="A28" s="3" t="s">
        <v>494</v>
      </c>
      <c r="B28" s="3" t="s">
        <v>1004</v>
      </c>
      <c r="D28" s="26" t="s">
        <v>495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>
        <f t="shared" si="2"/>
        <v>0</v>
      </c>
      <c r="R28" s="39">
        <v>0</v>
      </c>
      <c r="S28" s="35"/>
      <c r="T28" s="40">
        <f t="shared" si="3"/>
        <v>0</v>
      </c>
      <c r="V28" s="323"/>
      <c r="W28" s="323"/>
      <c r="X28" s="323"/>
      <c r="Y28" s="323"/>
      <c r="Z28" s="323"/>
      <c r="AA28" s="323"/>
      <c r="AB28" s="323"/>
    </row>
    <row r="29" spans="1:28" s="3" customFormat="1" ht="25.4" hidden="1" customHeight="1">
      <c r="A29" s="3" t="s">
        <v>496</v>
      </c>
      <c r="B29" s="3" t="s">
        <v>1004</v>
      </c>
      <c r="D29" s="26" t="s">
        <v>171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>
        <f t="shared" si="2"/>
        <v>0</v>
      </c>
      <c r="R29" s="39">
        <v>0</v>
      </c>
      <c r="S29" s="35"/>
      <c r="T29" s="40">
        <f t="shared" si="3"/>
        <v>0</v>
      </c>
      <c r="V29" s="323"/>
      <c r="W29" s="323"/>
      <c r="X29" s="323"/>
      <c r="Y29" s="323"/>
      <c r="Z29" s="323"/>
      <c r="AA29" s="323"/>
      <c r="AB29" s="323"/>
    </row>
    <row r="30" spans="1:28" s="3" customFormat="1" ht="25.4" hidden="1" customHeight="1">
      <c r="A30" s="3" t="s">
        <v>497</v>
      </c>
      <c r="B30" s="3" t="s">
        <v>1004</v>
      </c>
      <c r="D30" s="26" t="s">
        <v>173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>
        <f t="shared" si="2"/>
        <v>0</v>
      </c>
      <c r="R30" s="39">
        <v>0</v>
      </c>
      <c r="S30" s="35"/>
      <c r="T30" s="40">
        <f t="shared" si="3"/>
        <v>0</v>
      </c>
      <c r="V30" s="323"/>
      <c r="W30" s="323"/>
      <c r="X30" s="323"/>
      <c r="Y30" s="323"/>
      <c r="Z30" s="323"/>
      <c r="AA30" s="323"/>
      <c r="AB30" s="323"/>
    </row>
    <row r="31" spans="1:28" s="3" customFormat="1" ht="25.4" hidden="1" customHeight="1">
      <c r="A31" s="3" t="s">
        <v>498</v>
      </c>
      <c r="B31" s="3" t="s">
        <v>1004</v>
      </c>
      <c r="D31" s="26" t="s">
        <v>499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>
        <f t="shared" si="2"/>
        <v>0</v>
      </c>
      <c r="R31" s="39">
        <v>0</v>
      </c>
      <c r="S31" s="35"/>
      <c r="T31" s="40">
        <f t="shared" si="3"/>
        <v>0</v>
      </c>
      <c r="V31" s="323"/>
      <c r="W31" s="323"/>
      <c r="X31" s="323"/>
      <c r="Y31" s="323"/>
      <c r="Z31" s="323"/>
      <c r="AA31" s="323"/>
      <c r="AB31" s="323"/>
    </row>
    <row r="32" spans="1:28" s="3" customFormat="1" ht="25.4" hidden="1" customHeight="1">
      <c r="A32" s="3" t="s">
        <v>500</v>
      </c>
      <c r="B32" s="3" t="s">
        <v>1004</v>
      </c>
      <c r="D32" s="26" t="s">
        <v>501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>
        <f t="shared" si="2"/>
        <v>0</v>
      </c>
      <c r="R32" s="39">
        <v>0</v>
      </c>
      <c r="S32" s="35"/>
      <c r="T32" s="40">
        <f t="shared" si="3"/>
        <v>0</v>
      </c>
      <c r="V32" s="323"/>
      <c r="W32" s="323"/>
      <c r="X32" s="323"/>
      <c r="Y32" s="323"/>
      <c r="Z32" s="323"/>
      <c r="AA32" s="323"/>
      <c r="AB32" s="323"/>
    </row>
    <row r="33" spans="1:28" s="3" customFormat="1" ht="25.4" hidden="1" customHeight="1">
      <c r="A33" s="3" t="s">
        <v>502</v>
      </c>
      <c r="B33" s="3" t="s">
        <v>1004</v>
      </c>
      <c r="D33" s="26" t="s">
        <v>503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>
        <f t="shared" si="2"/>
        <v>0</v>
      </c>
      <c r="R33" s="39">
        <v>0</v>
      </c>
      <c r="S33" s="35"/>
      <c r="T33" s="40">
        <f t="shared" si="3"/>
        <v>0</v>
      </c>
      <c r="V33" s="323"/>
      <c r="W33" s="323"/>
      <c r="X33" s="323"/>
      <c r="Y33" s="323"/>
      <c r="Z33" s="323"/>
      <c r="AA33" s="323"/>
      <c r="AB33" s="323"/>
    </row>
    <row r="34" spans="1:28" s="3" customFormat="1" ht="25.4" hidden="1" customHeight="1">
      <c r="A34" s="3" t="s">
        <v>504</v>
      </c>
      <c r="B34" s="3" t="s">
        <v>1004</v>
      </c>
      <c r="D34" s="26" t="s">
        <v>505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>
        <f t="shared" si="2"/>
        <v>0</v>
      </c>
      <c r="R34" s="39">
        <v>0</v>
      </c>
      <c r="S34" s="35"/>
      <c r="T34" s="40">
        <f t="shared" si="3"/>
        <v>0</v>
      </c>
      <c r="V34" s="323"/>
      <c r="W34" s="323"/>
      <c r="X34" s="323"/>
      <c r="Y34" s="323"/>
      <c r="Z34" s="323"/>
      <c r="AA34" s="323"/>
      <c r="AB34" s="323"/>
    </row>
    <row r="35" spans="1:28" s="3" customFormat="1" ht="25.4" hidden="1" customHeight="1">
      <c r="A35" s="3" t="s">
        <v>506</v>
      </c>
      <c r="B35" s="3" t="s">
        <v>1004</v>
      </c>
      <c r="D35" s="26" t="s">
        <v>507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>
        <f t="shared" si="2"/>
        <v>0</v>
      </c>
      <c r="R35" s="39">
        <v>0</v>
      </c>
      <c r="S35" s="35"/>
      <c r="T35" s="40">
        <f t="shared" si="3"/>
        <v>0</v>
      </c>
      <c r="V35" s="323"/>
      <c r="W35" s="323"/>
      <c r="X35" s="323"/>
      <c r="Y35" s="323"/>
      <c r="Z35" s="323"/>
      <c r="AA35" s="323"/>
      <c r="AB35" s="323"/>
    </row>
    <row r="36" spans="1:28" s="3" customFormat="1" ht="25.4" hidden="1" customHeight="1">
      <c r="A36" s="3" t="s">
        <v>508</v>
      </c>
      <c r="B36" s="3" t="s">
        <v>1004</v>
      </c>
      <c r="D36" s="26" t="s">
        <v>509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>
        <f t="shared" si="2"/>
        <v>0</v>
      </c>
      <c r="R36" s="39">
        <v>0</v>
      </c>
      <c r="S36" s="35"/>
      <c r="T36" s="40">
        <f t="shared" si="3"/>
        <v>0</v>
      </c>
      <c r="V36" s="323"/>
      <c r="W36" s="323"/>
      <c r="X36" s="323"/>
      <c r="Y36" s="323"/>
      <c r="Z36" s="323"/>
      <c r="AA36" s="323"/>
      <c r="AB36" s="323"/>
    </row>
    <row r="37" spans="1:28" s="3" customFormat="1" ht="25.4" hidden="1" customHeight="1">
      <c r="A37" s="3" t="s">
        <v>510</v>
      </c>
      <c r="B37" s="3" t="s">
        <v>1004</v>
      </c>
      <c r="D37" s="26" t="s">
        <v>511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>
        <f t="shared" si="2"/>
        <v>0</v>
      </c>
      <c r="R37" s="39">
        <v>0</v>
      </c>
      <c r="S37" s="35"/>
      <c r="T37" s="40">
        <f t="shared" si="3"/>
        <v>0</v>
      </c>
      <c r="V37" s="323"/>
      <c r="W37" s="323"/>
      <c r="X37" s="323"/>
      <c r="Y37" s="323"/>
      <c r="Z37" s="323"/>
      <c r="AA37" s="323"/>
      <c r="AB37" s="323"/>
    </row>
    <row r="38" spans="1:28" s="3" customFormat="1" ht="25.4" hidden="1" customHeight="1">
      <c r="A38" s="3" t="s">
        <v>512</v>
      </c>
      <c r="B38" s="3" t="s">
        <v>1004</v>
      </c>
      <c r="D38" s="26" t="s">
        <v>513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>
        <f t="shared" si="2"/>
        <v>0</v>
      </c>
      <c r="R38" s="39">
        <v>0</v>
      </c>
      <c r="S38" s="35"/>
      <c r="T38" s="40">
        <f t="shared" si="3"/>
        <v>0</v>
      </c>
      <c r="V38" s="323"/>
      <c r="W38" s="323"/>
      <c r="X38" s="323"/>
      <c r="Y38" s="323"/>
      <c r="Z38" s="323"/>
      <c r="AA38" s="323"/>
      <c r="AB38" s="323"/>
    </row>
    <row r="39" spans="1:28" s="3" customFormat="1" ht="25.4" hidden="1" customHeight="1">
      <c r="A39" s="3" t="s">
        <v>514</v>
      </c>
      <c r="B39" s="3" t="s">
        <v>1004</v>
      </c>
      <c r="D39" s="26" t="s">
        <v>515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>
        <f t="shared" si="2"/>
        <v>0</v>
      </c>
      <c r="R39" s="39">
        <v>0</v>
      </c>
      <c r="S39" s="35"/>
      <c r="T39" s="40">
        <f t="shared" si="3"/>
        <v>0</v>
      </c>
      <c r="V39" s="323"/>
      <c r="W39" s="323"/>
      <c r="X39" s="323"/>
      <c r="Y39" s="323"/>
      <c r="Z39" s="323"/>
      <c r="AA39" s="323"/>
      <c r="AB39" s="323"/>
    </row>
    <row r="40" spans="1:28" s="3" customFormat="1" ht="25.4" hidden="1" customHeight="1">
      <c r="A40" s="3" t="s">
        <v>516</v>
      </c>
      <c r="B40" s="3" t="s">
        <v>1004</v>
      </c>
      <c r="D40" s="26" t="s">
        <v>517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>
        <f t="shared" si="2"/>
        <v>0</v>
      </c>
      <c r="R40" s="39">
        <v>0</v>
      </c>
      <c r="S40" s="35"/>
      <c r="T40" s="40">
        <f t="shared" si="3"/>
        <v>0</v>
      </c>
      <c r="V40" s="323"/>
      <c r="W40" s="323"/>
      <c r="X40" s="323"/>
      <c r="Y40" s="323"/>
      <c r="Z40" s="323"/>
      <c r="AA40" s="323"/>
      <c r="AB40" s="323"/>
    </row>
    <row r="41" spans="1:28" s="3" customFormat="1" ht="25.4" hidden="1" customHeight="1">
      <c r="A41" s="3" t="s">
        <v>518</v>
      </c>
      <c r="B41" s="3" t="s">
        <v>1004</v>
      </c>
      <c r="D41" s="26" t="s">
        <v>519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>
        <f t="shared" si="2"/>
        <v>0</v>
      </c>
      <c r="R41" s="39">
        <v>0</v>
      </c>
      <c r="S41" s="35"/>
      <c r="T41" s="40">
        <f t="shared" si="3"/>
        <v>0</v>
      </c>
      <c r="V41" s="323"/>
      <c r="W41" s="323"/>
      <c r="X41" s="323"/>
      <c r="Y41" s="323"/>
      <c r="Z41" s="323"/>
      <c r="AA41" s="323"/>
      <c r="AB41" s="323"/>
    </row>
    <row r="42" spans="1:28" s="3" customFormat="1" ht="25.4" customHeight="1">
      <c r="A42" s="3" t="s">
        <v>520</v>
      </c>
      <c r="B42" s="3" t="s">
        <v>1004</v>
      </c>
      <c r="D42" s="26" t="s">
        <v>521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>
        <f t="shared" si="2"/>
        <v>0</v>
      </c>
      <c r="R42" s="39">
        <v>0</v>
      </c>
      <c r="S42" s="35"/>
      <c r="T42" s="40">
        <f t="shared" si="3"/>
        <v>0</v>
      </c>
      <c r="V42" s="323"/>
      <c r="W42" s="323"/>
      <c r="X42" s="323"/>
      <c r="Y42" s="323"/>
      <c r="Z42" s="323"/>
      <c r="AA42" s="323"/>
      <c r="AB42" s="323"/>
    </row>
    <row r="43" spans="1:28" s="3" customFormat="1" ht="25.4" customHeight="1">
      <c r="A43" s="3" t="s">
        <v>522</v>
      </c>
      <c r="B43" s="3" t="s">
        <v>1004</v>
      </c>
      <c r="D43" s="26" t="s">
        <v>1203</v>
      </c>
      <c r="E43" s="27">
        <f>12*E198</f>
        <v>96</v>
      </c>
      <c r="F43" s="27">
        <f t="shared" ref="F43:P43" si="4">12*F198</f>
        <v>96</v>
      </c>
      <c r="G43" s="27">
        <f t="shared" si="4"/>
        <v>96</v>
      </c>
      <c r="H43" s="27">
        <f t="shared" si="4"/>
        <v>96</v>
      </c>
      <c r="I43" s="27">
        <f t="shared" si="4"/>
        <v>96</v>
      </c>
      <c r="J43" s="27">
        <f t="shared" si="4"/>
        <v>96</v>
      </c>
      <c r="K43" s="27">
        <f t="shared" si="4"/>
        <v>96</v>
      </c>
      <c r="L43" s="27">
        <f t="shared" si="4"/>
        <v>96</v>
      </c>
      <c r="M43" s="27">
        <f t="shared" si="4"/>
        <v>96</v>
      </c>
      <c r="N43" s="27">
        <f t="shared" si="4"/>
        <v>96</v>
      </c>
      <c r="O43" s="27">
        <f t="shared" si="4"/>
        <v>96</v>
      </c>
      <c r="P43" s="27">
        <f t="shared" si="4"/>
        <v>96</v>
      </c>
      <c r="Q43" s="3">
        <f t="shared" si="2"/>
        <v>1152</v>
      </c>
      <c r="R43" s="39">
        <v>6.2377257775440807E-5</v>
      </c>
      <c r="S43" s="35"/>
      <c r="T43" s="40" t="e">
        <f t="shared" si="3"/>
        <v>#DIV/0!</v>
      </c>
      <c r="V43" s="323"/>
      <c r="W43" s="323"/>
      <c r="X43" s="323"/>
      <c r="Y43" s="323"/>
      <c r="Z43" s="323"/>
      <c r="AA43" s="323"/>
      <c r="AB43" s="323"/>
    </row>
    <row r="44" spans="1:28" s="3" customFormat="1" ht="25.4" hidden="1" customHeight="1">
      <c r="A44" s="3" t="s">
        <v>524</v>
      </c>
      <c r="B44" s="3" t="s">
        <v>1004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9">
        <v>0</v>
      </c>
      <c r="S44" s="35"/>
      <c r="T44" s="40">
        <f t="shared" si="3"/>
        <v>0</v>
      </c>
      <c r="V44" s="323"/>
      <c r="W44" s="323"/>
      <c r="X44" s="323"/>
      <c r="Y44" s="323"/>
      <c r="Z44" s="323"/>
      <c r="AA44" s="323"/>
      <c r="AB44" s="323"/>
    </row>
    <row r="45" spans="1:28" s="3" customFormat="1" ht="25.4" hidden="1" customHeight="1">
      <c r="A45" s="3" t="s">
        <v>526</v>
      </c>
      <c r="B45" s="3" t="s">
        <v>1004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9">
        <v>0</v>
      </c>
      <c r="S45" s="35"/>
      <c r="T45" s="40">
        <f t="shared" si="3"/>
        <v>0</v>
      </c>
      <c r="V45" s="323"/>
      <c r="W45" s="323"/>
      <c r="X45" s="323"/>
      <c r="Y45" s="323"/>
      <c r="Z45" s="323"/>
      <c r="AA45" s="323"/>
      <c r="AB45" s="323"/>
    </row>
    <row r="46" spans="1:28" s="3" customFormat="1" ht="25.4" hidden="1" customHeight="1">
      <c r="A46" s="3" t="s">
        <v>528</v>
      </c>
      <c r="B46" s="3" t="s">
        <v>1004</v>
      </c>
      <c r="D46" s="26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9">
        <v>0</v>
      </c>
      <c r="S46" s="35"/>
      <c r="T46" s="40">
        <f t="shared" si="3"/>
        <v>0</v>
      </c>
      <c r="V46" s="323"/>
      <c r="W46" s="323"/>
      <c r="X46" s="323"/>
      <c r="Y46" s="323"/>
      <c r="Z46" s="323"/>
      <c r="AA46" s="323"/>
      <c r="AB46" s="323"/>
    </row>
    <row r="47" spans="1:28" s="3" customFormat="1" ht="25.4" hidden="1" customHeight="1">
      <c r="A47" s="3" t="s">
        <v>530</v>
      </c>
      <c r="B47" s="3" t="s">
        <v>1004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9">
        <v>0</v>
      </c>
      <c r="S47" s="35"/>
      <c r="T47" s="40">
        <f t="shared" si="3"/>
        <v>0</v>
      </c>
      <c r="V47" s="323"/>
      <c r="W47" s="323"/>
      <c r="X47" s="323"/>
      <c r="Y47" s="323"/>
      <c r="Z47" s="323"/>
      <c r="AA47" s="323"/>
      <c r="AB47" s="323"/>
    </row>
    <row r="48" spans="1:28" s="3" customFormat="1" ht="25.4" hidden="1" customHeight="1">
      <c r="A48" s="3" t="s">
        <v>532</v>
      </c>
      <c r="B48" s="3" t="s">
        <v>1004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9">
        <v>0</v>
      </c>
      <c r="S48" s="35"/>
      <c r="T48" s="40">
        <f t="shared" si="3"/>
        <v>0</v>
      </c>
      <c r="V48" s="323"/>
      <c r="W48" s="323"/>
      <c r="X48" s="323"/>
      <c r="Y48" s="323"/>
      <c r="Z48" s="323"/>
      <c r="AA48" s="323"/>
      <c r="AB48" s="323"/>
    </row>
    <row r="49" spans="1:28" s="3" customFormat="1" ht="25.4" hidden="1" customHeight="1">
      <c r="A49" s="3" t="s">
        <v>534</v>
      </c>
      <c r="B49" s="3" t="s">
        <v>1004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9">
        <v>0</v>
      </c>
      <c r="S49" s="35"/>
      <c r="T49" s="40">
        <f t="shared" si="3"/>
        <v>0</v>
      </c>
      <c r="V49" s="323"/>
      <c r="W49" s="323"/>
      <c r="X49" s="323"/>
      <c r="Y49" s="323"/>
      <c r="Z49" s="323"/>
      <c r="AA49" s="323"/>
      <c r="AB49" s="323"/>
    </row>
    <row r="50" spans="1:28" s="3" customFormat="1" ht="25.4" hidden="1" customHeight="1">
      <c r="A50" s="3" t="s">
        <v>536</v>
      </c>
      <c r="B50" s="3" t="s">
        <v>1004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9">
        <v>0</v>
      </c>
      <c r="S50" s="35"/>
      <c r="T50" s="40">
        <f t="shared" si="3"/>
        <v>0</v>
      </c>
      <c r="V50" s="323"/>
      <c r="W50" s="323"/>
      <c r="X50" s="323"/>
      <c r="Y50" s="323"/>
      <c r="Z50" s="323"/>
      <c r="AA50" s="323"/>
      <c r="AB50" s="323"/>
    </row>
    <row r="51" spans="1:28" s="3" customFormat="1" ht="25.4" hidden="1" customHeight="1">
      <c r="A51" s="3" t="s">
        <v>538</v>
      </c>
      <c r="B51" s="3" t="s">
        <v>1004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9">
        <v>0</v>
      </c>
      <c r="S51" s="35"/>
      <c r="T51" s="40">
        <f t="shared" si="3"/>
        <v>0</v>
      </c>
      <c r="V51" s="323"/>
      <c r="W51" s="323"/>
      <c r="X51" s="323"/>
      <c r="Y51" s="323"/>
      <c r="Z51" s="323"/>
      <c r="AA51" s="323"/>
      <c r="AB51" s="323"/>
    </row>
    <row r="52" spans="1:28" s="3" customFormat="1" ht="25.4" hidden="1" customHeight="1">
      <c r="A52" s="3" t="s">
        <v>540</v>
      </c>
      <c r="B52" s="3" t="s">
        <v>1004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9">
        <v>0</v>
      </c>
      <c r="S52" s="35"/>
      <c r="T52" s="40">
        <f t="shared" si="3"/>
        <v>0</v>
      </c>
      <c r="V52" s="323"/>
      <c r="W52" s="323"/>
      <c r="X52" s="323"/>
      <c r="Y52" s="323"/>
      <c r="Z52" s="323"/>
      <c r="AA52" s="323"/>
      <c r="AB52" s="323"/>
    </row>
    <row r="53" spans="1:28" s="3" customFormat="1" ht="25.4" hidden="1" customHeight="1">
      <c r="A53" s="3" t="s">
        <v>542</v>
      </c>
      <c r="B53" s="3" t="s">
        <v>1004</v>
      </c>
      <c r="D53" s="26" t="s">
        <v>543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9">
        <v>0</v>
      </c>
      <c r="S53" s="35"/>
      <c r="T53" s="40">
        <f t="shared" si="3"/>
        <v>0</v>
      </c>
      <c r="V53" s="323"/>
      <c r="W53" s="323"/>
      <c r="X53" s="323"/>
      <c r="Y53" s="323"/>
      <c r="Z53" s="323"/>
      <c r="AA53" s="323"/>
      <c r="AB53" s="323"/>
    </row>
    <row r="54" spans="1:28" s="3" customFormat="1" ht="25.4" hidden="1" customHeight="1">
      <c r="A54" s="3" t="s">
        <v>544</v>
      </c>
      <c r="B54" s="3" t="s">
        <v>1004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9">
        <v>0</v>
      </c>
      <c r="S54" s="35"/>
      <c r="T54" s="40">
        <f t="shared" si="3"/>
        <v>0</v>
      </c>
      <c r="V54" s="323"/>
      <c r="W54" s="323"/>
      <c r="X54" s="323"/>
      <c r="Y54" s="323"/>
      <c r="Z54" s="323"/>
      <c r="AA54" s="323"/>
      <c r="AB54" s="323"/>
    </row>
    <row r="55" spans="1:28" s="3" customFormat="1" ht="25.4" customHeight="1">
      <c r="A55" s="3" t="s">
        <v>546</v>
      </c>
      <c r="B55" s="3" t="s">
        <v>1004</v>
      </c>
      <c r="D55" s="26" t="s">
        <v>547</v>
      </c>
      <c r="E55" s="27">
        <v>300</v>
      </c>
      <c r="F55" s="27">
        <v>300</v>
      </c>
      <c r="G55" s="27">
        <v>300</v>
      </c>
      <c r="H55" s="27">
        <v>300</v>
      </c>
      <c r="I55" s="27">
        <v>300</v>
      </c>
      <c r="J55" s="27">
        <v>300</v>
      </c>
      <c r="K55" s="27">
        <v>300</v>
      </c>
      <c r="L55" s="27">
        <v>300</v>
      </c>
      <c r="M55" s="27">
        <v>300</v>
      </c>
      <c r="N55" s="27">
        <v>300</v>
      </c>
      <c r="O55" s="27">
        <v>300</v>
      </c>
      <c r="P55" s="27">
        <v>300</v>
      </c>
      <c r="Q55" s="3">
        <f t="shared" si="2"/>
        <v>3600</v>
      </c>
      <c r="R55" s="39">
        <v>1.9492893054825252E-4</v>
      </c>
      <c r="S55" s="35"/>
      <c r="T55" s="40" t="e">
        <f t="shared" si="3"/>
        <v>#DIV/0!</v>
      </c>
      <c r="V55" s="323"/>
      <c r="W55" s="323"/>
      <c r="X55" s="323"/>
      <c r="Y55" s="323"/>
      <c r="Z55" s="323"/>
      <c r="AA55" s="323"/>
      <c r="AB55" s="323"/>
    </row>
    <row r="56" spans="1:28" s="306" customFormat="1" ht="25.4" customHeight="1">
      <c r="A56" s="306" t="s">
        <v>548</v>
      </c>
      <c r="B56" s="306" t="s">
        <v>1004</v>
      </c>
      <c r="D56" s="26" t="s">
        <v>1227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>
        <f t="shared" si="2"/>
        <v>0</v>
      </c>
      <c r="R56" s="39">
        <v>0</v>
      </c>
      <c r="S56" s="35"/>
      <c r="T56" s="40">
        <f t="shared" si="3"/>
        <v>0</v>
      </c>
      <c r="U56" s="3"/>
      <c r="W56" s="327"/>
      <c r="X56" s="327"/>
      <c r="Y56" s="327"/>
      <c r="Z56" s="327"/>
      <c r="AA56" s="327"/>
      <c r="AB56" s="327"/>
    </row>
    <row r="57" spans="1:28" s="3" customFormat="1" ht="25.4" hidden="1" customHeight="1">
      <c r="A57" s="3" t="s">
        <v>550</v>
      </c>
      <c r="B57" s="3" t="s">
        <v>1004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9">
        <v>0</v>
      </c>
      <c r="S57" s="35"/>
      <c r="T57" s="40">
        <f t="shared" si="3"/>
        <v>0</v>
      </c>
      <c r="V57" s="323"/>
      <c r="W57" s="323"/>
      <c r="X57" s="323"/>
      <c r="Y57" s="323"/>
      <c r="Z57" s="323"/>
      <c r="AA57" s="323"/>
      <c r="AB57" s="323"/>
    </row>
    <row r="58" spans="1:28" s="3" customFormat="1" ht="25.4" hidden="1" customHeight="1">
      <c r="A58" s="3" t="s">
        <v>552</v>
      </c>
      <c r="B58" s="3" t="s">
        <v>1004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9">
        <v>0</v>
      </c>
      <c r="S58" s="35"/>
      <c r="T58" s="40">
        <f t="shared" si="3"/>
        <v>0</v>
      </c>
      <c r="V58" s="323"/>
      <c r="W58" s="323"/>
      <c r="X58" s="323"/>
      <c r="Y58" s="323"/>
      <c r="Z58" s="323"/>
      <c r="AA58" s="323"/>
      <c r="AB58" s="323"/>
    </row>
    <row r="59" spans="1:28" s="3" customFormat="1" ht="25.4" hidden="1" customHeight="1">
      <c r="A59" s="3" t="s">
        <v>554</v>
      </c>
      <c r="B59" s="3" t="s">
        <v>1004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9">
        <v>0</v>
      </c>
      <c r="S59" s="35"/>
      <c r="T59" s="40">
        <f t="shared" si="3"/>
        <v>0</v>
      </c>
      <c r="V59" s="323"/>
      <c r="W59" s="323"/>
      <c r="X59" s="323"/>
      <c r="Y59" s="323"/>
      <c r="Z59" s="323"/>
      <c r="AA59" s="323"/>
      <c r="AB59" s="323"/>
    </row>
    <row r="60" spans="1:28" s="3" customFormat="1" ht="25.4" hidden="1" customHeight="1">
      <c r="A60" s="3" t="s">
        <v>556</v>
      </c>
      <c r="B60" s="3" t="s">
        <v>1004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9">
        <v>0</v>
      </c>
      <c r="S60" s="35"/>
      <c r="T60" s="40">
        <f t="shared" si="3"/>
        <v>0</v>
      </c>
      <c r="V60" s="323"/>
      <c r="W60" s="323"/>
      <c r="X60" s="323"/>
      <c r="Y60" s="323"/>
      <c r="Z60" s="323"/>
      <c r="AA60" s="323"/>
      <c r="AB60" s="323"/>
    </row>
    <row r="61" spans="1:28" s="3" customFormat="1" ht="25.4" hidden="1" customHeight="1">
      <c r="A61" s="3" t="s">
        <v>558</v>
      </c>
      <c r="B61" s="3" t="s">
        <v>1004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9">
        <v>0</v>
      </c>
      <c r="S61" s="35"/>
      <c r="T61" s="40">
        <f t="shared" si="3"/>
        <v>0</v>
      </c>
      <c r="V61" s="323"/>
      <c r="W61" s="323"/>
      <c r="X61" s="323"/>
      <c r="Y61" s="323"/>
      <c r="Z61" s="323"/>
      <c r="AA61" s="323"/>
      <c r="AB61" s="323"/>
    </row>
    <row r="62" spans="1:28" s="3" customFormat="1" ht="25.4" hidden="1" customHeight="1">
      <c r="A62" s="3" t="s">
        <v>560</v>
      </c>
      <c r="B62" s="3" t="s">
        <v>1004</v>
      </c>
      <c r="D62" s="26" t="s">
        <v>561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R62" s="39">
        <v>0</v>
      </c>
      <c r="S62" s="35"/>
      <c r="T62" s="40">
        <f t="shared" si="3"/>
        <v>0</v>
      </c>
      <c r="V62" s="323"/>
      <c r="W62" s="323"/>
      <c r="X62" s="323"/>
      <c r="Y62" s="323"/>
      <c r="Z62" s="323"/>
      <c r="AA62" s="323"/>
      <c r="AB62" s="323"/>
    </row>
    <row r="63" spans="1:28" s="3" customFormat="1" ht="25.4" hidden="1" customHeight="1">
      <c r="A63" s="3" t="s">
        <v>562</v>
      </c>
      <c r="B63" s="3" t="s">
        <v>1004</v>
      </c>
      <c r="D63" s="26" t="s">
        <v>563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9">
        <v>0</v>
      </c>
      <c r="S63" s="35"/>
      <c r="T63" s="40">
        <f t="shared" si="3"/>
        <v>0</v>
      </c>
      <c r="V63" s="323"/>
      <c r="W63" s="323"/>
      <c r="X63" s="323"/>
      <c r="Y63" s="323"/>
      <c r="Z63" s="323"/>
      <c r="AA63" s="323"/>
      <c r="AB63" s="323"/>
    </row>
    <row r="64" spans="1:28" s="3" customFormat="1" ht="25.4" customHeight="1">
      <c r="A64" s="3" t="s">
        <v>564</v>
      </c>
      <c r="B64" s="3" t="s">
        <v>1004</v>
      </c>
      <c r="D64" s="26" t="s">
        <v>565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9">
        <v>0</v>
      </c>
      <c r="S64" s="35"/>
      <c r="T64" s="40">
        <f t="shared" si="3"/>
        <v>0</v>
      </c>
      <c r="V64" s="323"/>
      <c r="W64" s="323"/>
      <c r="X64" s="323"/>
      <c r="Y64" s="323"/>
      <c r="Z64" s="323"/>
      <c r="AA64" s="323"/>
      <c r="AB64" s="323"/>
    </row>
    <row r="65" spans="1:28" s="3" customFormat="1" ht="25.4" customHeight="1">
      <c r="A65" s="3" t="s">
        <v>566</v>
      </c>
      <c r="B65" s="3" t="s">
        <v>1004</v>
      </c>
      <c r="D65" s="26" t="s">
        <v>567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9">
        <v>0</v>
      </c>
      <c r="S65" s="35"/>
      <c r="T65" s="40">
        <f t="shared" si="3"/>
        <v>0</v>
      </c>
      <c r="V65" s="323"/>
      <c r="W65" s="323"/>
      <c r="X65" s="323"/>
      <c r="Y65" s="323"/>
      <c r="Z65" s="323"/>
      <c r="AA65" s="323"/>
      <c r="AB65" s="323"/>
    </row>
    <row r="66" spans="1:28" s="3" customFormat="1" ht="25.4" customHeight="1">
      <c r="A66" s="3" t="s">
        <v>568</v>
      </c>
      <c r="B66" s="3" t="s">
        <v>1004</v>
      </c>
      <c r="D66" s="26" t="s">
        <v>569</v>
      </c>
      <c r="E66" s="27">
        <f>2000</f>
        <v>2000</v>
      </c>
      <c r="F66" s="27">
        <f>2000</f>
        <v>2000</v>
      </c>
      <c r="G66" s="27">
        <f>2000</f>
        <v>2000</v>
      </c>
      <c r="H66" s="27">
        <f>2000</f>
        <v>2000</v>
      </c>
      <c r="I66" s="27">
        <f>2000</f>
        <v>2000</v>
      </c>
      <c r="J66" s="27">
        <f>2000</f>
        <v>2000</v>
      </c>
      <c r="K66" s="27">
        <f>2000</f>
        <v>2000</v>
      </c>
      <c r="L66" s="27">
        <f>2000</f>
        <v>2000</v>
      </c>
      <c r="M66" s="27">
        <f>2000</f>
        <v>2000</v>
      </c>
      <c r="N66" s="27">
        <f>2000</f>
        <v>2000</v>
      </c>
      <c r="O66" s="27">
        <f>2000</f>
        <v>2000</v>
      </c>
      <c r="P66" s="27">
        <f>2000</f>
        <v>2000</v>
      </c>
      <c r="Q66" s="3">
        <f t="shared" si="2"/>
        <v>24000</v>
      </c>
      <c r="R66" s="39">
        <v>1.2995262036550167E-3</v>
      </c>
      <c r="S66" s="35"/>
      <c r="T66" s="40" t="e">
        <f t="shared" si="3"/>
        <v>#DIV/0!</v>
      </c>
      <c r="V66" s="325" t="s">
        <v>1167</v>
      </c>
      <c r="W66" s="323"/>
      <c r="X66" s="323"/>
      <c r="Y66" s="323"/>
      <c r="Z66" s="323"/>
      <c r="AA66" s="323"/>
      <c r="AB66" s="323"/>
    </row>
    <row r="67" spans="1:28" s="3" customFormat="1" ht="25.4" customHeight="1">
      <c r="A67" s="3" t="s">
        <v>570</v>
      </c>
      <c r="B67" s="3" t="s">
        <v>1004</v>
      </c>
      <c r="D67" s="26" t="s">
        <v>571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9">
        <v>0</v>
      </c>
      <c r="S67" s="35"/>
      <c r="T67" s="40">
        <f t="shared" si="3"/>
        <v>0</v>
      </c>
      <c r="V67" s="323"/>
      <c r="W67" s="323"/>
      <c r="X67" s="323"/>
      <c r="Y67" s="323"/>
      <c r="Z67" s="323"/>
      <c r="AA67" s="323"/>
      <c r="AB67" s="323"/>
    </row>
    <row r="68" spans="1:28" s="3" customFormat="1" ht="25.4" customHeight="1">
      <c r="A68" s="3" t="s">
        <v>572</v>
      </c>
      <c r="B68" s="3" t="s">
        <v>1004</v>
      </c>
      <c r="D68" s="26" t="s">
        <v>573</v>
      </c>
      <c r="E68" s="27">
        <v>300</v>
      </c>
      <c r="F68" s="27">
        <v>300</v>
      </c>
      <c r="G68" s="27">
        <v>300</v>
      </c>
      <c r="H68" s="27">
        <v>300</v>
      </c>
      <c r="I68" s="27">
        <v>300</v>
      </c>
      <c r="J68" s="27">
        <v>300</v>
      </c>
      <c r="K68" s="27">
        <v>300</v>
      </c>
      <c r="L68" s="27">
        <v>300</v>
      </c>
      <c r="M68" s="27">
        <v>300</v>
      </c>
      <c r="N68" s="27">
        <v>300</v>
      </c>
      <c r="O68" s="27">
        <v>300</v>
      </c>
      <c r="P68" s="27">
        <v>300</v>
      </c>
      <c r="Q68" s="3">
        <f t="shared" si="2"/>
        <v>3600</v>
      </c>
      <c r="R68" s="39">
        <v>1.9492893054825252E-4</v>
      </c>
      <c r="S68" s="35"/>
      <c r="T68" s="40" t="e">
        <f t="shared" si="3"/>
        <v>#DIV/0!</v>
      </c>
      <c r="V68" s="323"/>
      <c r="W68" s="323"/>
      <c r="X68" s="323"/>
      <c r="Y68" s="323"/>
      <c r="Z68" s="323"/>
      <c r="AA68" s="323"/>
      <c r="AB68" s="323"/>
    </row>
    <row r="69" spans="1:28" s="3" customFormat="1" ht="25.4" customHeight="1">
      <c r="A69" s="3" t="s">
        <v>574</v>
      </c>
      <c r="B69" s="3" t="s">
        <v>1004</v>
      </c>
      <c r="D69" s="26" t="s">
        <v>1233</v>
      </c>
      <c r="E69" s="27">
        <v>880</v>
      </c>
      <c r="F69" s="27">
        <v>880</v>
      </c>
      <c r="G69" s="27">
        <v>880</v>
      </c>
      <c r="H69" s="27">
        <v>880</v>
      </c>
      <c r="I69" s="27">
        <v>880</v>
      </c>
      <c r="J69" s="27">
        <v>880</v>
      </c>
      <c r="K69" s="27">
        <v>880</v>
      </c>
      <c r="L69" s="27">
        <v>880</v>
      </c>
      <c r="M69" s="27">
        <v>880</v>
      </c>
      <c r="N69" s="27">
        <v>880</v>
      </c>
      <c r="O69" s="27">
        <v>880</v>
      </c>
      <c r="P69" s="27">
        <v>880</v>
      </c>
      <c r="Q69" s="3">
        <f t="shared" si="2"/>
        <v>10560</v>
      </c>
      <c r="R69" s="39">
        <v>5.7179152960820743E-4</v>
      </c>
      <c r="S69" s="35"/>
      <c r="T69" s="40" t="e">
        <f t="shared" si="3"/>
        <v>#DIV/0!</v>
      </c>
      <c r="V69" s="350" t="s">
        <v>1224</v>
      </c>
      <c r="W69" s="323">
        <v>580</v>
      </c>
      <c r="X69" s="323"/>
      <c r="Y69" s="323"/>
      <c r="Z69" s="323"/>
      <c r="AA69" s="323"/>
      <c r="AB69" s="323"/>
    </row>
    <row r="70" spans="1:28" s="3" customFormat="1" ht="25.4" customHeight="1">
      <c r="A70" s="3" t="s">
        <v>576</v>
      </c>
      <c r="B70" s="3" t="s">
        <v>1004</v>
      </c>
      <c r="D70" s="26" t="s">
        <v>1234</v>
      </c>
      <c r="E70" s="63">
        <v>2338.4</v>
      </c>
      <c r="F70" s="27">
        <v>2056.2399999999998</v>
      </c>
      <c r="G70" s="27">
        <v>2003.2800000000002</v>
      </c>
      <c r="H70" s="27">
        <v>2054.08</v>
      </c>
      <c r="I70" s="27">
        <v>2022.7999999999997</v>
      </c>
      <c r="J70" s="27">
        <v>1863.0400000000004</v>
      </c>
      <c r="K70" s="27">
        <v>1810.6399999999999</v>
      </c>
      <c r="L70" s="27">
        <v>1817.0400000000004</v>
      </c>
      <c r="M70" s="27">
        <v>1854.32</v>
      </c>
      <c r="N70" s="27">
        <v>2005.84</v>
      </c>
      <c r="O70" s="27">
        <v>1797.68</v>
      </c>
      <c r="P70" s="27">
        <v>1779.2000000000003</v>
      </c>
      <c r="Q70" s="3">
        <f t="shared" si="2"/>
        <v>23402.560000000001</v>
      </c>
      <c r="R70" s="39">
        <v>1.0806859909595122E-3</v>
      </c>
      <c r="S70" s="35"/>
      <c r="T70" s="40" t="e">
        <f t="shared" si="3"/>
        <v>#DIV/0!</v>
      </c>
      <c r="V70" s="3">
        <f>+Q70/Q198/12</f>
        <v>243.77666666666667</v>
      </c>
    </row>
    <row r="71" spans="1:28" s="3" customFormat="1" ht="25.4" customHeight="1">
      <c r="A71" s="3" t="s">
        <v>578</v>
      </c>
      <c r="B71" s="3" t="s">
        <v>1004</v>
      </c>
      <c r="D71" s="26" t="s">
        <v>1235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9">
        <v>0</v>
      </c>
      <c r="S71" s="35"/>
      <c r="T71" s="40">
        <f t="shared" si="3"/>
        <v>0</v>
      </c>
      <c r="V71" s="323"/>
      <c r="W71" s="323"/>
      <c r="X71" s="323"/>
      <c r="Y71" s="323"/>
      <c r="Z71" s="323"/>
      <c r="AA71" s="323"/>
      <c r="AB71" s="323"/>
    </row>
    <row r="72" spans="1:28" s="306" customFormat="1" ht="25.4" customHeight="1">
      <c r="A72" s="306" t="s">
        <v>580</v>
      </c>
      <c r="B72" s="306" t="s">
        <v>1004</v>
      </c>
      <c r="D72" s="26" t="s">
        <v>1236</v>
      </c>
      <c r="E72" s="27">
        <v>200</v>
      </c>
      <c r="F72" s="27">
        <v>200</v>
      </c>
      <c r="G72" s="27">
        <v>200</v>
      </c>
      <c r="H72" s="27">
        <v>200</v>
      </c>
      <c r="I72" s="27">
        <v>200</v>
      </c>
      <c r="J72" s="27">
        <v>200</v>
      </c>
      <c r="K72" s="27">
        <v>200</v>
      </c>
      <c r="L72" s="27">
        <v>200</v>
      </c>
      <c r="M72" s="27">
        <v>200</v>
      </c>
      <c r="N72" s="27">
        <v>200</v>
      </c>
      <c r="O72" s="27">
        <v>200</v>
      </c>
      <c r="P72" s="27">
        <v>200</v>
      </c>
      <c r="Q72" s="3">
        <f t="shared" si="2"/>
        <v>2400</v>
      </c>
      <c r="R72" s="39">
        <v>1.2995262036550169E-4</v>
      </c>
      <c r="S72" s="35"/>
      <c r="T72" s="40" t="e">
        <f t="shared" si="3"/>
        <v>#DIV/0!</v>
      </c>
      <c r="U72" s="3"/>
      <c r="V72" s="323" t="s">
        <v>1225</v>
      </c>
      <c r="W72" s="323">
        <v>200</v>
      </c>
      <c r="X72" s="327"/>
      <c r="Y72" s="327"/>
      <c r="Z72" s="327"/>
      <c r="AA72" s="327"/>
      <c r="AB72" s="327"/>
    </row>
    <row r="73" spans="1:28" s="3" customFormat="1" ht="25.4" customHeight="1">
      <c r="A73" s="3" t="s">
        <v>582</v>
      </c>
      <c r="B73" s="3" t="s">
        <v>1004</v>
      </c>
      <c r="D73" s="26" t="s">
        <v>583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9">
        <v>0</v>
      </c>
      <c r="S73" s="35"/>
      <c r="T73" s="40">
        <f t="shared" si="3"/>
        <v>0</v>
      </c>
      <c r="V73" s="323"/>
      <c r="W73" s="323"/>
      <c r="X73" s="323"/>
      <c r="Y73" s="323"/>
      <c r="Z73" s="323"/>
      <c r="AA73" s="323"/>
      <c r="AB73" s="323"/>
    </row>
    <row r="74" spans="1:28" s="3" customFormat="1" ht="24.75" customHeight="1">
      <c r="A74" s="3" t="s">
        <v>584</v>
      </c>
      <c r="B74" s="3" t="s">
        <v>1004</v>
      </c>
      <c r="D74" s="26" t="s">
        <v>585</v>
      </c>
      <c r="E74" s="27"/>
      <c r="F74" s="27"/>
      <c r="G74" s="27">
        <v>2000</v>
      </c>
      <c r="H74" s="27"/>
      <c r="I74" s="27">
        <v>2000</v>
      </c>
      <c r="J74" s="27"/>
      <c r="K74" s="27">
        <v>2000</v>
      </c>
      <c r="L74" s="27"/>
      <c r="M74" s="27"/>
      <c r="N74" s="27">
        <v>2000</v>
      </c>
      <c r="O74" s="27"/>
      <c r="P74" s="27">
        <v>2000</v>
      </c>
      <c r="Q74" s="3">
        <f t="shared" si="2"/>
        <v>10000</v>
      </c>
      <c r="R74" s="39">
        <v>5.4146925152292373E-4</v>
      </c>
      <c r="S74" s="35"/>
      <c r="T74" s="40" t="e">
        <f t="shared" si="3"/>
        <v>#DIV/0!</v>
      </c>
      <c r="V74" s="325" t="s">
        <v>1168</v>
      </c>
      <c r="W74" s="323"/>
      <c r="X74" s="323"/>
      <c r="Y74" s="323"/>
      <c r="Z74" s="323"/>
      <c r="AA74" s="323"/>
      <c r="AB74" s="323"/>
    </row>
    <row r="75" spans="1:28" s="3" customFormat="1" ht="25.4" customHeight="1">
      <c r="A75" s="3" t="s">
        <v>586</v>
      </c>
      <c r="B75" s="3" t="s">
        <v>1004</v>
      </c>
      <c r="D75" s="26" t="s">
        <v>587</v>
      </c>
      <c r="E75" s="27"/>
      <c r="F75" s="27"/>
      <c r="G75" s="27"/>
      <c r="H75" s="27">
        <v>3000</v>
      </c>
      <c r="I75" s="27">
        <v>3000</v>
      </c>
      <c r="J75" s="27">
        <v>3000</v>
      </c>
      <c r="K75" s="27"/>
      <c r="L75" s="27"/>
      <c r="M75" s="27">
        <v>10000</v>
      </c>
      <c r="N75" s="27">
        <v>3000</v>
      </c>
      <c r="O75" s="27">
        <v>3000</v>
      </c>
      <c r="P75" s="27">
        <v>3000</v>
      </c>
      <c r="Q75" s="3">
        <f t="shared" si="2"/>
        <v>28000</v>
      </c>
      <c r="R75" s="39">
        <v>1.624407754568771E-3</v>
      </c>
      <c r="S75" s="35"/>
      <c r="T75" s="40" t="e">
        <f t="shared" si="3"/>
        <v>#DIV/0!</v>
      </c>
      <c r="V75" s="325" t="s">
        <v>1169</v>
      </c>
      <c r="W75" s="323"/>
      <c r="X75" s="323"/>
      <c r="Y75" s="323"/>
      <c r="Z75" s="323"/>
      <c r="AA75" s="323"/>
      <c r="AB75" s="323"/>
    </row>
    <row r="76" spans="1:28" s="3" customFormat="1" ht="25.4" customHeight="1">
      <c r="A76" s="3" t="s">
        <v>588</v>
      </c>
      <c r="B76" s="3" t="s">
        <v>1004</v>
      </c>
      <c r="D76" s="26" t="s">
        <v>589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9">
        <v>0</v>
      </c>
      <c r="S76" s="35"/>
      <c r="T76" s="40">
        <f t="shared" si="3"/>
        <v>0</v>
      </c>
      <c r="V76" s="323"/>
      <c r="W76" s="323"/>
      <c r="X76" s="323"/>
      <c r="Y76" s="323"/>
      <c r="Z76" s="323"/>
      <c r="AA76" s="323"/>
      <c r="AB76" s="323"/>
    </row>
    <row r="77" spans="1:28" s="3" customFormat="1" ht="25.4" customHeight="1">
      <c r="A77" s="3" t="s">
        <v>590</v>
      </c>
      <c r="B77" s="3" t="s">
        <v>1004</v>
      </c>
      <c r="D77" s="26" t="s">
        <v>591</v>
      </c>
      <c r="E77" s="27">
        <v>3585</v>
      </c>
      <c r="F77" s="27">
        <v>3585</v>
      </c>
      <c r="G77" s="27">
        <v>3585</v>
      </c>
      <c r="H77" s="27">
        <v>3585</v>
      </c>
      <c r="I77" s="27">
        <v>3585</v>
      </c>
      <c r="J77" s="27">
        <v>3585</v>
      </c>
      <c r="K77" s="27">
        <v>3585</v>
      </c>
      <c r="L77" s="27">
        <v>3585</v>
      </c>
      <c r="M77" s="27">
        <v>3585</v>
      </c>
      <c r="N77" s="27">
        <v>3585</v>
      </c>
      <c r="O77" s="27">
        <v>3585</v>
      </c>
      <c r="P77" s="27">
        <v>3585</v>
      </c>
      <c r="Q77" s="3">
        <f t="shared" si="2"/>
        <v>43020</v>
      </c>
      <c r="R77" s="39">
        <v>2.3294007200516179E-3</v>
      </c>
      <c r="S77" s="35"/>
      <c r="T77" s="40" t="e">
        <f t="shared" si="3"/>
        <v>#DIV/0!</v>
      </c>
      <c r="V77" s="325" t="s">
        <v>1213</v>
      </c>
      <c r="W77" s="323"/>
      <c r="X77" s="323"/>
      <c r="Y77" s="323"/>
      <c r="Z77" s="323"/>
      <c r="AA77" s="323"/>
      <c r="AB77" s="323"/>
    </row>
    <row r="78" spans="1:28" s="3" customFormat="1" ht="25.4" customHeight="1">
      <c r="A78" s="253" t="s">
        <v>846</v>
      </c>
      <c r="B78" s="3" t="s">
        <v>1004</v>
      </c>
      <c r="D78" s="26" t="s">
        <v>1002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>
        <f t="shared" si="2"/>
        <v>0</v>
      </c>
      <c r="R78" s="39">
        <v>0</v>
      </c>
      <c r="S78" s="35"/>
      <c r="T78" s="40">
        <f t="shared" si="3"/>
        <v>0</v>
      </c>
      <c r="V78" s="323"/>
      <c r="W78" s="323"/>
      <c r="X78" s="323"/>
      <c r="Y78" s="323"/>
      <c r="Z78" s="323"/>
      <c r="AA78" s="323"/>
      <c r="AB78" s="323"/>
    </row>
    <row r="79" spans="1:28" s="3" customFormat="1" ht="25.4" customHeight="1">
      <c r="A79" s="3" t="s">
        <v>592</v>
      </c>
      <c r="B79" s="3" t="s">
        <v>1004</v>
      </c>
      <c r="D79" s="26" t="s">
        <v>593</v>
      </c>
      <c r="E79" s="27"/>
      <c r="F79" s="27"/>
      <c r="G79" s="27"/>
      <c r="H79" s="27"/>
      <c r="I79" s="27"/>
      <c r="J79" s="27"/>
      <c r="K79" s="27">
        <v>25000</v>
      </c>
      <c r="L79" s="27"/>
      <c r="M79" s="27"/>
      <c r="N79" s="27"/>
      <c r="O79" s="27"/>
      <c r="P79" s="27"/>
      <c r="Q79" s="3">
        <f t="shared" si="2"/>
        <v>25000</v>
      </c>
      <c r="R79" s="39">
        <v>1.3536731288073091E-3</v>
      </c>
      <c r="S79" s="35"/>
      <c r="T79" s="40" t="e">
        <f t="shared" si="3"/>
        <v>#DIV/0!</v>
      </c>
      <c r="V79" s="325" t="s">
        <v>1170</v>
      </c>
      <c r="W79" s="323"/>
      <c r="X79" s="323"/>
      <c r="Y79" s="323"/>
      <c r="Z79" s="323"/>
      <c r="AA79" s="323"/>
      <c r="AB79" s="323"/>
    </row>
    <row r="80" spans="1:28" s="3" customFormat="1" ht="25.4" customHeight="1">
      <c r="A80" s="3" t="s">
        <v>848</v>
      </c>
      <c r="B80" s="3" t="s">
        <v>1004</v>
      </c>
      <c r="D80" s="26" t="s">
        <v>849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143" si="5">SUM(E80:P80)</f>
        <v>0</v>
      </c>
      <c r="R80" s="39">
        <v>0</v>
      </c>
      <c r="S80" s="35"/>
      <c r="T80" s="40">
        <f t="shared" si="3"/>
        <v>0</v>
      </c>
      <c r="V80" s="323"/>
      <c r="W80" s="323"/>
      <c r="X80" s="323"/>
      <c r="Y80" s="323"/>
      <c r="Z80" s="323"/>
      <c r="AA80" s="323"/>
      <c r="AB80" s="323"/>
    </row>
    <row r="81" spans="1:28" s="3" customFormat="1" ht="25.4" customHeight="1">
      <c r="A81" s="3" t="s">
        <v>850</v>
      </c>
      <c r="B81" s="3" t="s">
        <v>1004</v>
      </c>
      <c r="D81" s="26" t="s">
        <v>851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>
        <f t="shared" si="5"/>
        <v>0</v>
      </c>
      <c r="R81" s="39">
        <v>0</v>
      </c>
      <c r="S81" s="35"/>
      <c r="T81" s="40">
        <f t="shared" si="3"/>
        <v>0</v>
      </c>
      <c r="V81" s="323"/>
      <c r="W81" s="323"/>
      <c r="X81" s="323"/>
      <c r="Y81" s="323"/>
      <c r="Z81" s="323"/>
      <c r="AA81" s="323"/>
      <c r="AB81" s="323"/>
    </row>
    <row r="82" spans="1:28" s="3" customFormat="1" ht="24.75" customHeight="1">
      <c r="A82" s="3" t="s">
        <v>852</v>
      </c>
      <c r="B82" s="3" t="s">
        <v>1004</v>
      </c>
      <c r="D82" s="26" t="s">
        <v>853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5"/>
        <v>0</v>
      </c>
      <c r="R82" s="39">
        <v>0</v>
      </c>
      <c r="S82" s="35"/>
      <c r="T82" s="40">
        <f t="shared" si="3"/>
        <v>0</v>
      </c>
      <c r="V82" s="323"/>
      <c r="W82" s="323"/>
      <c r="X82" s="323"/>
      <c r="Y82" s="323"/>
      <c r="Z82" s="323"/>
      <c r="AA82" s="323"/>
      <c r="AB82" s="323"/>
    </row>
    <row r="83" spans="1:28" s="3" customFormat="1" ht="25.4" customHeight="1">
      <c r="A83" s="3" t="s">
        <v>854</v>
      </c>
      <c r="B83" s="3" t="s">
        <v>1004</v>
      </c>
      <c r="D83" s="26" t="s">
        <v>855</v>
      </c>
      <c r="E83" s="27"/>
      <c r="F83" s="27"/>
      <c r="G83" s="27"/>
      <c r="H83" s="27"/>
      <c r="I83" s="27"/>
      <c r="J83" s="27"/>
      <c r="K83" s="27"/>
      <c r="L83" s="27"/>
      <c r="M83" s="27"/>
      <c r="N83" s="27">
        <v>10000</v>
      </c>
      <c r="O83" s="27"/>
      <c r="P83" s="27"/>
      <c r="Q83" s="3">
        <f t="shared" si="5"/>
        <v>10000</v>
      </c>
      <c r="R83" s="39">
        <v>0</v>
      </c>
      <c r="S83" s="35"/>
      <c r="T83" s="40" t="e">
        <f t="shared" si="3"/>
        <v>#DIV/0!</v>
      </c>
      <c r="V83" s="323"/>
      <c r="W83" s="323"/>
      <c r="X83" s="323"/>
      <c r="Y83" s="323"/>
      <c r="Z83" s="323"/>
      <c r="AA83" s="323"/>
      <c r="AB83" s="323"/>
    </row>
    <row r="84" spans="1:28" s="3" customFormat="1" ht="25.4" customHeight="1">
      <c r="A84" s="3" t="s">
        <v>856</v>
      </c>
      <c r="B84" s="3" t="s">
        <v>1004</v>
      </c>
      <c r="D84" s="26" t="s">
        <v>857</v>
      </c>
      <c r="E84" s="324"/>
      <c r="F84" s="324"/>
      <c r="G84" s="324"/>
      <c r="H84" s="324"/>
      <c r="I84" s="324"/>
      <c r="J84" s="324"/>
      <c r="K84" s="324"/>
      <c r="L84" s="324"/>
      <c r="M84" s="324"/>
      <c r="N84" s="324"/>
      <c r="O84" s="324"/>
      <c r="P84" s="324"/>
      <c r="Q84" s="3">
        <f t="shared" si="5"/>
        <v>0</v>
      </c>
      <c r="R84" s="39">
        <v>0</v>
      </c>
      <c r="S84" s="35"/>
      <c r="T84" s="40">
        <f t="shared" si="3"/>
        <v>0</v>
      </c>
      <c r="V84" s="351"/>
      <c r="W84" s="323"/>
      <c r="X84" s="323"/>
      <c r="Y84" s="323"/>
      <c r="Z84" s="323"/>
      <c r="AA84" s="323"/>
      <c r="AB84" s="323"/>
    </row>
    <row r="85" spans="1:28" s="3" customFormat="1" ht="25.4" hidden="1" customHeight="1">
      <c r="A85" s="3" t="s">
        <v>858</v>
      </c>
      <c r="B85" s="3" t="s">
        <v>1004</v>
      </c>
      <c r="D85" s="26" t="s">
        <v>859</v>
      </c>
      <c r="E85" s="324"/>
      <c r="F85" s="324"/>
      <c r="G85" s="324"/>
      <c r="H85" s="324"/>
      <c r="I85" s="324"/>
      <c r="J85" s="324"/>
      <c r="K85" s="324"/>
      <c r="L85" s="324"/>
      <c r="M85" s="324"/>
      <c r="N85" s="324"/>
      <c r="O85" s="324"/>
      <c r="P85" s="324"/>
      <c r="Q85" s="3">
        <f t="shared" si="5"/>
        <v>0</v>
      </c>
      <c r="R85" s="39">
        <v>0</v>
      </c>
      <c r="S85" s="35"/>
      <c r="T85" s="40">
        <f t="shared" si="3"/>
        <v>0</v>
      </c>
      <c r="V85" s="351"/>
      <c r="W85" s="323"/>
      <c r="X85" s="323"/>
      <c r="Y85" s="323"/>
      <c r="Z85" s="323"/>
      <c r="AA85" s="323"/>
      <c r="AB85" s="323"/>
    </row>
    <row r="86" spans="1:28" s="3" customFormat="1" ht="25.4" hidden="1" customHeight="1">
      <c r="A86" s="3" t="s">
        <v>860</v>
      </c>
      <c r="B86" s="3" t="s">
        <v>1004</v>
      </c>
      <c r="D86" s="26" t="s">
        <v>861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>
        <f t="shared" si="5"/>
        <v>0</v>
      </c>
      <c r="R86" s="39">
        <v>0</v>
      </c>
      <c r="S86" s="35"/>
      <c r="T86" s="40">
        <f t="shared" si="3"/>
        <v>0</v>
      </c>
      <c r="V86" s="323"/>
      <c r="W86" s="323"/>
      <c r="X86" s="323"/>
      <c r="Y86" s="323"/>
      <c r="Z86" s="323"/>
      <c r="AA86" s="323"/>
      <c r="AB86" s="323"/>
    </row>
    <row r="87" spans="1:28" s="3" customFormat="1" ht="25.4" hidden="1" customHeight="1">
      <c r="A87" s="3" t="s">
        <v>862</v>
      </c>
      <c r="B87" s="3" t="s">
        <v>1004</v>
      </c>
      <c r="D87" s="26" t="s">
        <v>863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3">
        <f t="shared" si="5"/>
        <v>0</v>
      </c>
      <c r="R87" s="39">
        <v>0</v>
      </c>
      <c r="S87" s="35"/>
      <c r="T87" s="40">
        <f t="shared" ref="T87:T150" si="6">-IF(Q87-S87=0,0,(Q87-S87)/S87)</f>
        <v>0</v>
      </c>
      <c r="V87" s="323"/>
      <c r="W87" s="323"/>
      <c r="X87" s="323"/>
      <c r="Y87" s="323"/>
      <c r="Z87" s="323"/>
      <c r="AA87" s="323"/>
      <c r="AB87" s="323"/>
    </row>
    <row r="88" spans="1:28" s="3" customFormat="1" ht="25.4" hidden="1" customHeight="1">
      <c r="A88" s="3" t="s">
        <v>864</v>
      </c>
      <c r="B88" s="3" t="s">
        <v>1004</v>
      </c>
      <c r="D88" s="26" t="s">
        <v>865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>
        <f t="shared" si="5"/>
        <v>0</v>
      </c>
      <c r="R88" s="39">
        <v>0</v>
      </c>
      <c r="S88" s="35"/>
      <c r="T88" s="40">
        <f t="shared" si="6"/>
        <v>0</v>
      </c>
      <c r="V88" s="323"/>
      <c r="W88" s="323"/>
      <c r="X88" s="323"/>
      <c r="Y88" s="323"/>
      <c r="Z88" s="323"/>
      <c r="AA88" s="323"/>
      <c r="AB88" s="323"/>
    </row>
    <row r="89" spans="1:28" s="3" customFormat="1" ht="25.4" customHeight="1">
      <c r="A89" s="3" t="s">
        <v>270</v>
      </c>
      <c r="B89" s="3" t="s">
        <v>1004</v>
      </c>
      <c r="D89" s="26" t="s">
        <v>594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>
        <f t="shared" si="5"/>
        <v>0</v>
      </c>
      <c r="R89" s="39">
        <v>0</v>
      </c>
      <c r="S89" s="35"/>
      <c r="T89" s="40">
        <f t="shared" si="6"/>
        <v>0</v>
      </c>
      <c r="V89" s="323"/>
      <c r="W89" s="323"/>
      <c r="X89" s="323"/>
      <c r="Y89" s="323"/>
      <c r="Z89" s="323"/>
      <c r="AA89" s="323"/>
      <c r="AB89" s="323"/>
    </row>
    <row r="90" spans="1:28" s="3" customFormat="1" ht="25.4" customHeight="1">
      <c r="A90" s="3" t="s">
        <v>866</v>
      </c>
      <c r="B90" s="3" t="s">
        <v>1004</v>
      </c>
      <c r="D90" s="26" t="s">
        <v>867</v>
      </c>
      <c r="E90" s="27">
        <v>6666</v>
      </c>
      <c r="F90" s="27">
        <v>6666</v>
      </c>
      <c r="G90" s="27">
        <v>6666</v>
      </c>
      <c r="H90" s="27">
        <v>6666</v>
      </c>
      <c r="I90" s="27">
        <v>6666</v>
      </c>
      <c r="J90" s="27">
        <v>6666</v>
      </c>
      <c r="K90" s="27">
        <v>6666</v>
      </c>
      <c r="L90" s="27">
        <v>6666</v>
      </c>
      <c r="M90" s="27">
        <v>6666</v>
      </c>
      <c r="N90" s="27">
        <v>6666</v>
      </c>
      <c r="O90" s="27">
        <v>6666</v>
      </c>
      <c r="P90" s="27">
        <v>6666</v>
      </c>
      <c r="Q90" s="3">
        <f t="shared" si="5"/>
        <v>79992</v>
      </c>
      <c r="R90" s="39">
        <v>3.3841828220182732E-3</v>
      </c>
      <c r="S90" s="35"/>
      <c r="T90" s="40" t="e">
        <f t="shared" si="6"/>
        <v>#DIV/0!</v>
      </c>
      <c r="V90" s="325" t="s">
        <v>1346</v>
      </c>
      <c r="W90" s="323"/>
      <c r="X90" s="323"/>
      <c r="Y90" s="323"/>
      <c r="Z90" s="323"/>
      <c r="AA90" s="323"/>
      <c r="AB90" s="323"/>
    </row>
    <row r="91" spans="1:28" s="3" customFormat="1" ht="25.4" customHeight="1">
      <c r="A91" s="3" t="s">
        <v>272</v>
      </c>
      <c r="B91" s="3" t="s">
        <v>1004</v>
      </c>
      <c r="D91" s="26" t="s">
        <v>273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>
        <f t="shared" si="5"/>
        <v>0</v>
      </c>
      <c r="R91" s="39">
        <v>0</v>
      </c>
      <c r="S91" s="35"/>
      <c r="T91" s="40">
        <f t="shared" si="6"/>
        <v>0</v>
      </c>
      <c r="V91" s="323"/>
      <c r="W91" s="323"/>
      <c r="X91" s="323"/>
      <c r="Y91" s="323"/>
      <c r="Z91" s="323"/>
      <c r="AA91" s="323"/>
      <c r="AB91" s="323"/>
    </row>
    <row r="92" spans="1:28" s="3" customFormat="1" ht="25.4" customHeight="1">
      <c r="A92" s="3" t="s">
        <v>868</v>
      </c>
      <c r="B92" s="3" t="s">
        <v>1004</v>
      </c>
      <c r="D92" s="26" t="s">
        <v>869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>
        <f t="shared" si="5"/>
        <v>0</v>
      </c>
      <c r="R92" s="39">
        <v>0</v>
      </c>
      <c r="S92" s="35"/>
      <c r="T92" s="40">
        <f t="shared" si="6"/>
        <v>0</v>
      </c>
      <c r="V92" s="323"/>
      <c r="W92" s="323"/>
      <c r="X92" s="323"/>
      <c r="Y92" s="323"/>
      <c r="Z92" s="323"/>
      <c r="AA92" s="323"/>
      <c r="AB92" s="323"/>
    </row>
    <row r="93" spans="1:28" s="3" customFormat="1" ht="24.65" customHeight="1">
      <c r="A93" s="3" t="s">
        <v>870</v>
      </c>
      <c r="B93" s="3" t="s">
        <v>1004</v>
      </c>
      <c r="D93" s="26" t="s">
        <v>871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3">
        <f t="shared" si="5"/>
        <v>0</v>
      </c>
      <c r="R93" s="39">
        <v>0</v>
      </c>
      <c r="S93" s="35"/>
      <c r="T93" s="40">
        <f t="shared" si="6"/>
        <v>0</v>
      </c>
      <c r="V93" s="323"/>
      <c r="W93" s="323"/>
      <c r="X93" s="323"/>
      <c r="Y93" s="323"/>
      <c r="Z93" s="323"/>
      <c r="AA93" s="323"/>
      <c r="AB93" s="323"/>
    </row>
    <row r="94" spans="1:28" s="3" customFormat="1" ht="24.75" customHeight="1">
      <c r="A94" s="3" t="s">
        <v>872</v>
      </c>
      <c r="B94" s="3" t="s">
        <v>1004</v>
      </c>
      <c r="D94" s="26" t="s">
        <v>1214</v>
      </c>
      <c r="E94" s="27">
        <v>43295</v>
      </c>
      <c r="F94" s="27">
        <v>43294</v>
      </c>
      <c r="G94" s="27">
        <v>43294</v>
      </c>
      <c r="H94" s="27">
        <v>43294</v>
      </c>
      <c r="I94" s="27">
        <v>43294</v>
      </c>
      <c r="J94" s="27">
        <v>43294</v>
      </c>
      <c r="K94" s="27">
        <v>43294</v>
      </c>
      <c r="L94" s="27">
        <v>43294</v>
      </c>
      <c r="M94" s="27">
        <v>43294</v>
      </c>
      <c r="N94" s="27">
        <v>43294</v>
      </c>
      <c r="O94" s="27">
        <v>43294</v>
      </c>
      <c r="P94" s="27">
        <v>43295</v>
      </c>
      <c r="Q94" s="3">
        <f t="shared" si="5"/>
        <v>519530</v>
      </c>
      <c r="R94" s="39">
        <v>2.8130952024370454E-2</v>
      </c>
      <c r="S94" s="35"/>
      <c r="T94" s="40" t="e">
        <f t="shared" si="6"/>
        <v>#DIV/0!</v>
      </c>
      <c r="V94" s="323"/>
      <c r="W94" s="323"/>
      <c r="X94" s="323"/>
      <c r="Y94" s="323"/>
      <c r="Z94" s="323"/>
      <c r="AA94" s="323"/>
      <c r="AB94" s="323"/>
    </row>
    <row r="95" spans="1:28" s="3" customFormat="1" ht="24.75" customHeight="1">
      <c r="A95" s="3" t="s">
        <v>874</v>
      </c>
      <c r="B95" s="3" t="s">
        <v>1004</v>
      </c>
      <c r="D95" s="26" t="s">
        <v>1257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si="5"/>
        <v>0</v>
      </c>
      <c r="R95" s="39">
        <v>0</v>
      </c>
      <c r="S95" s="35"/>
      <c r="T95" s="40">
        <f t="shared" si="6"/>
        <v>0</v>
      </c>
      <c r="V95" s="323"/>
      <c r="W95" s="323"/>
      <c r="X95" s="323"/>
      <c r="Y95" s="323"/>
      <c r="Z95" s="323"/>
      <c r="AA95" s="323"/>
      <c r="AB95" s="323"/>
    </row>
    <row r="96" spans="1:28" s="3" customFormat="1" ht="32.15" customHeight="1">
      <c r="A96" s="3" t="s">
        <v>876</v>
      </c>
      <c r="B96" s="3" t="s">
        <v>1004</v>
      </c>
      <c r="D96" s="26" t="s">
        <v>1258</v>
      </c>
      <c r="E96" s="27">
        <f>3000+9000</f>
        <v>12000</v>
      </c>
      <c r="F96" s="27">
        <f>3000+9000</f>
        <v>12000</v>
      </c>
      <c r="G96" s="27">
        <f>3000+9000</f>
        <v>12000</v>
      </c>
      <c r="H96" s="27">
        <f>3000+9000+20*700</f>
        <v>26000</v>
      </c>
      <c r="I96" s="27">
        <f>3000+9000</f>
        <v>12000</v>
      </c>
      <c r="J96" s="27">
        <f>3000+9000</f>
        <v>12000</v>
      </c>
      <c r="K96" s="27">
        <f>3000+9000+40*700</f>
        <v>40000</v>
      </c>
      <c r="L96" s="27">
        <f>3000+9000</f>
        <v>12000</v>
      </c>
      <c r="M96" s="27">
        <f>3000+9000</f>
        <v>12000</v>
      </c>
      <c r="N96" s="27">
        <f>3000+9000+20*700</f>
        <v>26000</v>
      </c>
      <c r="O96" s="27">
        <f>3000+9000</f>
        <v>12000</v>
      </c>
      <c r="P96" s="27">
        <f>12000</f>
        <v>12000</v>
      </c>
      <c r="Q96" s="3">
        <f t="shared" si="5"/>
        <v>200000</v>
      </c>
      <c r="R96" s="39">
        <v>1.3536731288073093E-2</v>
      </c>
      <c r="S96" s="35"/>
      <c r="T96" s="40" t="e">
        <f t="shared" si="6"/>
        <v>#DIV/0!</v>
      </c>
      <c r="V96" s="390" t="s">
        <v>1345</v>
      </c>
      <c r="W96" s="357"/>
      <c r="X96" s="357"/>
      <c r="Y96" s="357"/>
      <c r="Z96" s="357"/>
      <c r="AA96" s="357"/>
      <c r="AB96" s="357"/>
    </row>
    <row r="97" spans="1:28" s="3" customFormat="1" ht="25.4" customHeight="1">
      <c r="A97" s="3" t="s">
        <v>878</v>
      </c>
      <c r="B97" s="3" t="s">
        <v>1004</v>
      </c>
      <c r="D97" s="26" t="s">
        <v>879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5"/>
        <v>0</v>
      </c>
      <c r="R97" s="39">
        <v>0</v>
      </c>
      <c r="S97" s="35"/>
      <c r="T97" s="40">
        <f t="shared" si="6"/>
        <v>0</v>
      </c>
      <c r="V97" s="323"/>
      <c r="W97" s="323"/>
      <c r="X97" s="323"/>
      <c r="Y97" s="323"/>
      <c r="Z97" s="323"/>
      <c r="AA97" s="323"/>
      <c r="AB97" s="323"/>
    </row>
    <row r="98" spans="1:28" s="3" customFormat="1" ht="25.4" hidden="1" customHeight="1">
      <c r="A98" s="3" t="s">
        <v>880</v>
      </c>
      <c r="B98" s="3" t="s">
        <v>1004</v>
      </c>
      <c r="D98" s="26" t="s">
        <v>881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5"/>
        <v>0</v>
      </c>
      <c r="R98" s="39">
        <v>0</v>
      </c>
      <c r="S98" s="35"/>
      <c r="T98" s="40">
        <f t="shared" si="6"/>
        <v>0</v>
      </c>
      <c r="V98" s="323"/>
      <c r="W98" s="323"/>
      <c r="X98" s="323"/>
      <c r="Y98" s="323"/>
      <c r="Z98" s="323"/>
      <c r="AA98" s="323"/>
      <c r="AB98" s="323"/>
    </row>
    <row r="99" spans="1:28" s="3" customFormat="1" ht="25.4" hidden="1" customHeight="1">
      <c r="A99" s="3" t="s">
        <v>882</v>
      </c>
      <c r="B99" s="3" t="s">
        <v>1004</v>
      </c>
      <c r="D99" s="26" t="s">
        <v>883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5"/>
        <v>0</v>
      </c>
      <c r="R99" s="39">
        <v>0</v>
      </c>
      <c r="S99" s="35"/>
      <c r="T99" s="40">
        <f t="shared" si="6"/>
        <v>0</v>
      </c>
      <c r="V99" s="323"/>
      <c r="W99" s="323"/>
      <c r="X99" s="323"/>
      <c r="Y99" s="323"/>
      <c r="Z99" s="323"/>
      <c r="AA99" s="323"/>
      <c r="AB99" s="323"/>
    </row>
    <row r="100" spans="1:28" s="3" customFormat="1" ht="25.4" hidden="1" customHeight="1">
      <c r="A100" s="3" t="s">
        <v>884</v>
      </c>
      <c r="B100" s="3" t="s">
        <v>1004</v>
      </c>
      <c r="D100" s="26" t="s">
        <v>885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>
        <f t="shared" si="5"/>
        <v>0</v>
      </c>
      <c r="R100" s="39">
        <v>0</v>
      </c>
      <c r="S100" s="35"/>
      <c r="T100" s="40">
        <f t="shared" si="6"/>
        <v>0</v>
      </c>
      <c r="V100" s="323"/>
      <c r="W100" s="323"/>
      <c r="X100" s="323"/>
      <c r="Y100" s="323"/>
      <c r="Z100" s="323"/>
      <c r="AA100" s="323"/>
      <c r="AB100" s="323"/>
    </row>
    <row r="101" spans="1:28" s="3" customFormat="1" ht="25.4" hidden="1" customHeight="1">
      <c r="A101" s="3" t="s">
        <v>886</v>
      </c>
      <c r="B101" s="3" t="s">
        <v>1004</v>
      </c>
      <c r="D101" s="26" t="s">
        <v>887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>
        <f t="shared" si="5"/>
        <v>0</v>
      </c>
      <c r="R101" s="39">
        <v>0</v>
      </c>
      <c r="S101" s="35"/>
      <c r="T101" s="40">
        <f t="shared" si="6"/>
        <v>0</v>
      </c>
      <c r="V101" s="323"/>
      <c r="W101" s="323"/>
      <c r="X101" s="323"/>
      <c r="Y101" s="323"/>
      <c r="Z101" s="323"/>
      <c r="AA101" s="323"/>
      <c r="AB101" s="323"/>
    </row>
    <row r="102" spans="1:28" s="3" customFormat="1" ht="25.4" hidden="1" customHeight="1">
      <c r="A102" s="3" t="s">
        <v>888</v>
      </c>
      <c r="B102" s="3" t="s">
        <v>1004</v>
      </c>
      <c r="D102" s="26" t="s">
        <v>889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>
        <f t="shared" si="5"/>
        <v>0</v>
      </c>
      <c r="R102" s="39">
        <v>0</v>
      </c>
      <c r="S102" s="35"/>
      <c r="T102" s="40">
        <f t="shared" si="6"/>
        <v>0</v>
      </c>
      <c r="V102" s="323"/>
      <c r="W102" s="323"/>
      <c r="X102" s="323"/>
      <c r="Y102" s="323"/>
      <c r="Z102" s="323"/>
      <c r="AA102" s="323"/>
      <c r="AB102" s="323"/>
    </row>
    <row r="103" spans="1:28" s="3" customFormat="1" ht="25.4" hidden="1" customHeight="1">
      <c r="A103" s="3" t="s">
        <v>890</v>
      </c>
      <c r="B103" s="3" t="s">
        <v>1004</v>
      </c>
      <c r="D103" s="26" t="s">
        <v>891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>
        <f t="shared" si="5"/>
        <v>0</v>
      </c>
      <c r="R103" s="39">
        <v>0</v>
      </c>
      <c r="S103" s="35"/>
      <c r="T103" s="40">
        <f t="shared" si="6"/>
        <v>0</v>
      </c>
      <c r="V103" s="323"/>
      <c r="W103" s="323"/>
      <c r="X103" s="323"/>
      <c r="Y103" s="323"/>
      <c r="Z103" s="323"/>
      <c r="AA103" s="323"/>
      <c r="AB103" s="323"/>
    </row>
    <row r="104" spans="1:28" s="3" customFormat="1" ht="25.4" hidden="1" customHeight="1">
      <c r="A104" s="3" t="s">
        <v>892</v>
      </c>
      <c r="B104" s="3" t="s">
        <v>1004</v>
      </c>
      <c r="D104" s="26" t="s">
        <v>893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>
        <f t="shared" si="5"/>
        <v>0</v>
      </c>
      <c r="R104" s="39">
        <v>0</v>
      </c>
      <c r="S104" s="35"/>
      <c r="T104" s="40">
        <f t="shared" si="6"/>
        <v>0</v>
      </c>
      <c r="V104" s="323"/>
      <c r="W104" s="323"/>
      <c r="X104" s="323"/>
      <c r="Y104" s="323"/>
      <c r="Z104" s="323"/>
      <c r="AA104" s="323"/>
      <c r="AB104" s="323"/>
    </row>
    <row r="105" spans="1:28" s="3" customFormat="1" ht="25.4" hidden="1" customHeight="1">
      <c r="A105" s="3" t="s">
        <v>894</v>
      </c>
      <c r="B105" s="3" t="s">
        <v>1004</v>
      </c>
      <c r="D105" s="26" t="s">
        <v>895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si="5"/>
        <v>0</v>
      </c>
      <c r="R105" s="39">
        <v>0</v>
      </c>
      <c r="S105" s="35"/>
      <c r="T105" s="40">
        <f t="shared" si="6"/>
        <v>0</v>
      </c>
      <c r="V105" s="323"/>
      <c r="W105" s="323"/>
      <c r="X105" s="323"/>
      <c r="Y105" s="323"/>
      <c r="Z105" s="323"/>
      <c r="AA105" s="323"/>
      <c r="AB105" s="323"/>
    </row>
    <row r="106" spans="1:28" s="3" customFormat="1" ht="25.4" hidden="1" customHeight="1">
      <c r="A106" s="3" t="s">
        <v>896</v>
      </c>
      <c r="B106" s="3" t="s">
        <v>1004</v>
      </c>
      <c r="D106" s="26" t="s">
        <v>897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5"/>
        <v>0</v>
      </c>
      <c r="R106" s="39">
        <v>0</v>
      </c>
      <c r="S106" s="35"/>
      <c r="T106" s="40">
        <f t="shared" si="6"/>
        <v>0</v>
      </c>
      <c r="V106" s="323"/>
      <c r="W106" s="323"/>
      <c r="X106" s="323"/>
      <c r="Y106" s="323"/>
      <c r="Z106" s="323"/>
      <c r="AA106" s="323"/>
      <c r="AB106" s="323"/>
    </row>
    <row r="107" spans="1:28" s="3" customFormat="1" ht="25.4" hidden="1" customHeight="1">
      <c r="A107" s="3" t="s">
        <v>898</v>
      </c>
      <c r="B107" s="3" t="s">
        <v>1004</v>
      </c>
      <c r="D107" s="26" t="s">
        <v>899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5"/>
        <v>0</v>
      </c>
      <c r="R107" s="39">
        <v>0</v>
      </c>
      <c r="S107" s="35"/>
      <c r="T107" s="40">
        <f t="shared" si="6"/>
        <v>0</v>
      </c>
      <c r="V107" s="323"/>
      <c r="W107" s="323"/>
      <c r="X107" s="323"/>
      <c r="Y107" s="323"/>
      <c r="Z107" s="323"/>
      <c r="AA107" s="323"/>
      <c r="AB107" s="323"/>
    </row>
    <row r="108" spans="1:28" s="3" customFormat="1" ht="25.4" hidden="1" customHeight="1">
      <c r="A108" s="3" t="s">
        <v>900</v>
      </c>
      <c r="B108" s="3" t="s">
        <v>1004</v>
      </c>
      <c r="D108" s="26" t="s">
        <v>901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5"/>
        <v>0</v>
      </c>
      <c r="R108" s="39">
        <v>0</v>
      </c>
      <c r="S108" s="35"/>
      <c r="T108" s="40">
        <f t="shared" si="6"/>
        <v>0</v>
      </c>
      <c r="V108" s="323"/>
      <c r="W108" s="323"/>
      <c r="X108" s="323"/>
      <c r="Y108" s="323"/>
      <c r="Z108" s="323"/>
      <c r="AA108" s="323"/>
      <c r="AB108" s="323"/>
    </row>
    <row r="109" spans="1:28" s="3" customFormat="1" ht="25.4" hidden="1" customHeight="1">
      <c r="A109" s="3" t="s">
        <v>902</v>
      </c>
      <c r="B109" s="3" t="s">
        <v>1004</v>
      </c>
      <c r="D109" s="26" t="s">
        <v>903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5"/>
        <v>0</v>
      </c>
      <c r="R109" s="39">
        <v>0</v>
      </c>
      <c r="S109" s="35"/>
      <c r="T109" s="40">
        <f t="shared" si="6"/>
        <v>0</v>
      </c>
      <c r="V109" s="323"/>
      <c r="W109" s="323"/>
      <c r="X109" s="323"/>
      <c r="Y109" s="323"/>
      <c r="Z109" s="323"/>
      <c r="AA109" s="323"/>
      <c r="AB109" s="323"/>
    </row>
    <row r="110" spans="1:28" s="3" customFormat="1" ht="25.4" hidden="1" customHeight="1">
      <c r="A110" s="3" t="s">
        <v>904</v>
      </c>
      <c r="B110" s="3" t="s">
        <v>1004</v>
      </c>
      <c r="D110" s="26" t="s">
        <v>905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5"/>
        <v>0</v>
      </c>
      <c r="R110" s="39">
        <v>0</v>
      </c>
      <c r="S110" s="35"/>
      <c r="T110" s="40">
        <f t="shared" si="6"/>
        <v>0</v>
      </c>
      <c r="V110" s="323"/>
      <c r="W110" s="323"/>
      <c r="X110" s="323"/>
      <c r="Y110" s="323"/>
      <c r="Z110" s="323"/>
      <c r="AA110" s="323"/>
      <c r="AB110" s="323"/>
    </row>
    <row r="111" spans="1:28" s="3" customFormat="1" ht="25.4" hidden="1" customHeight="1">
      <c r="A111" s="3" t="s">
        <v>906</v>
      </c>
      <c r="B111" s="3" t="s">
        <v>1004</v>
      </c>
      <c r="D111" s="26" t="s">
        <v>907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5"/>
        <v>0</v>
      </c>
      <c r="R111" s="39">
        <v>0</v>
      </c>
      <c r="S111" s="35"/>
      <c r="T111" s="40">
        <f t="shared" si="6"/>
        <v>0</v>
      </c>
      <c r="V111" s="323"/>
      <c r="W111" s="323"/>
      <c r="X111" s="323"/>
      <c r="Y111" s="323"/>
      <c r="Z111" s="323"/>
      <c r="AA111" s="323"/>
      <c r="AB111" s="323"/>
    </row>
    <row r="112" spans="1:28" s="3" customFormat="1" ht="25.4" hidden="1" customHeight="1">
      <c r="A112" s="3" t="s">
        <v>908</v>
      </c>
      <c r="B112" s="3" t="s">
        <v>1004</v>
      </c>
      <c r="D112" s="26" t="s">
        <v>909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 t="shared" si="5"/>
        <v>0</v>
      </c>
      <c r="R112" s="39">
        <v>0</v>
      </c>
      <c r="S112" s="35"/>
      <c r="T112" s="40">
        <f t="shared" si="6"/>
        <v>0</v>
      </c>
      <c r="V112" s="323"/>
      <c r="W112" s="323"/>
      <c r="X112" s="323"/>
      <c r="Y112" s="323"/>
      <c r="Z112" s="323"/>
      <c r="AA112" s="323"/>
      <c r="AB112" s="323"/>
    </row>
    <row r="113" spans="1:28" s="3" customFormat="1" ht="25.4" hidden="1" customHeight="1">
      <c r="A113" s="3" t="s">
        <v>910</v>
      </c>
      <c r="B113" s="3" t="s">
        <v>1004</v>
      </c>
      <c r="D113" s="26" t="s">
        <v>911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si="5"/>
        <v>0</v>
      </c>
      <c r="R113" s="39">
        <v>0</v>
      </c>
      <c r="S113" s="35"/>
      <c r="T113" s="40">
        <f t="shared" si="6"/>
        <v>0</v>
      </c>
      <c r="V113" s="323"/>
      <c r="W113" s="323"/>
      <c r="X113" s="323"/>
      <c r="Y113" s="323"/>
      <c r="Z113" s="323"/>
      <c r="AA113" s="323"/>
      <c r="AB113" s="323"/>
    </row>
    <row r="114" spans="1:28" s="3" customFormat="1" ht="25.4" hidden="1" customHeight="1">
      <c r="A114" s="3" t="s">
        <v>912</v>
      </c>
      <c r="B114" s="3" t="s">
        <v>1004</v>
      </c>
      <c r="D114" s="26" t="s">
        <v>913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5"/>
        <v>0</v>
      </c>
      <c r="R114" s="39">
        <v>0</v>
      </c>
      <c r="S114" s="35"/>
      <c r="T114" s="40">
        <f t="shared" si="6"/>
        <v>0</v>
      </c>
      <c r="V114" s="323"/>
      <c r="W114" s="323"/>
      <c r="X114" s="323"/>
      <c r="Y114" s="323"/>
      <c r="Z114" s="323"/>
      <c r="AA114" s="323"/>
      <c r="AB114" s="323"/>
    </row>
    <row r="115" spans="1:28" s="3" customFormat="1" ht="25.4" hidden="1" customHeight="1">
      <c r="A115" s="3" t="s">
        <v>914</v>
      </c>
      <c r="B115" s="3" t="s">
        <v>1004</v>
      </c>
      <c r="D115" s="26" t="s">
        <v>915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5"/>
        <v>0</v>
      </c>
      <c r="R115" s="39">
        <v>0</v>
      </c>
      <c r="S115" s="35"/>
      <c r="T115" s="40">
        <f t="shared" si="6"/>
        <v>0</v>
      </c>
      <c r="V115" s="323"/>
      <c r="W115" s="323"/>
      <c r="X115" s="323"/>
      <c r="Y115" s="323"/>
      <c r="Z115" s="323"/>
      <c r="AA115" s="323"/>
      <c r="AB115" s="323"/>
    </row>
    <row r="116" spans="1:28" s="3" customFormat="1" ht="25.4" hidden="1" customHeight="1">
      <c r="A116" s="3" t="s">
        <v>916</v>
      </c>
      <c r="B116" s="3" t="s">
        <v>1004</v>
      </c>
      <c r="D116" s="26" t="s">
        <v>917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5"/>
        <v>0</v>
      </c>
      <c r="R116" s="39">
        <v>0</v>
      </c>
      <c r="S116" s="35"/>
      <c r="T116" s="40">
        <f t="shared" si="6"/>
        <v>0</v>
      </c>
      <c r="V116" s="323"/>
      <c r="W116" s="323"/>
      <c r="X116" s="323"/>
      <c r="Y116" s="323"/>
      <c r="Z116" s="323"/>
      <c r="AA116" s="323"/>
      <c r="AB116" s="323"/>
    </row>
    <row r="117" spans="1:28" s="3" customFormat="1" ht="25.4" hidden="1" customHeight="1">
      <c r="A117" s="3" t="s">
        <v>918</v>
      </c>
      <c r="B117" s="3" t="s">
        <v>1004</v>
      </c>
      <c r="D117" s="26" t="s">
        <v>919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5"/>
        <v>0</v>
      </c>
      <c r="R117" s="39">
        <v>0</v>
      </c>
      <c r="S117" s="35"/>
      <c r="T117" s="40">
        <f t="shared" si="6"/>
        <v>0</v>
      </c>
      <c r="V117" s="323"/>
      <c r="W117" s="323"/>
      <c r="X117" s="323"/>
      <c r="Y117" s="323"/>
      <c r="Z117" s="323"/>
      <c r="AA117" s="323"/>
      <c r="AB117" s="323"/>
    </row>
    <row r="118" spans="1:28" s="3" customFormat="1" ht="25.4" hidden="1" customHeight="1">
      <c r="A118" s="3" t="s">
        <v>920</v>
      </c>
      <c r="B118" s="3" t="s">
        <v>1004</v>
      </c>
      <c r="D118" s="26" t="s">
        <v>921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5"/>
        <v>0</v>
      </c>
      <c r="R118" s="39">
        <v>0</v>
      </c>
      <c r="S118" s="35"/>
      <c r="T118" s="40">
        <f t="shared" si="6"/>
        <v>0</v>
      </c>
      <c r="V118" s="323"/>
      <c r="W118" s="323"/>
      <c r="X118" s="323"/>
      <c r="Y118" s="323"/>
      <c r="Z118" s="323"/>
      <c r="AA118" s="323"/>
      <c r="AB118" s="323"/>
    </row>
    <row r="119" spans="1:28" s="3" customFormat="1" ht="25.4" hidden="1" customHeight="1">
      <c r="A119" s="3" t="s">
        <v>922</v>
      </c>
      <c r="B119" s="3" t="s">
        <v>1004</v>
      </c>
      <c r="D119" s="26" t="s">
        <v>923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5"/>
        <v>0</v>
      </c>
      <c r="R119" s="39">
        <v>0</v>
      </c>
      <c r="S119" s="35"/>
      <c r="T119" s="40">
        <f t="shared" si="6"/>
        <v>0</v>
      </c>
      <c r="V119" s="323"/>
      <c r="W119" s="323"/>
      <c r="X119" s="323"/>
      <c r="Y119" s="323"/>
      <c r="Z119" s="323"/>
      <c r="AA119" s="323"/>
      <c r="AB119" s="323"/>
    </row>
    <row r="120" spans="1:28" s="3" customFormat="1" ht="25.4" hidden="1" customHeight="1">
      <c r="A120" s="3" t="s">
        <v>924</v>
      </c>
      <c r="B120" s="3" t="s">
        <v>1004</v>
      </c>
      <c r="D120" s="26" t="s">
        <v>925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5"/>
        <v>0</v>
      </c>
      <c r="R120" s="39">
        <v>0</v>
      </c>
      <c r="S120" s="35"/>
      <c r="T120" s="40">
        <f t="shared" si="6"/>
        <v>0</v>
      </c>
      <c r="V120" s="323"/>
      <c r="W120" s="323"/>
      <c r="X120" s="323"/>
      <c r="Y120" s="323"/>
      <c r="Z120" s="323"/>
      <c r="AA120" s="323"/>
      <c r="AB120" s="323"/>
    </row>
    <row r="121" spans="1:28" s="3" customFormat="1" ht="25.4" hidden="1" customHeight="1">
      <c r="A121" s="3" t="s">
        <v>926</v>
      </c>
      <c r="B121" s="3" t="s">
        <v>1004</v>
      </c>
      <c r="D121" s="26" t="s">
        <v>927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5"/>
        <v>0</v>
      </c>
      <c r="R121" s="39">
        <v>0</v>
      </c>
      <c r="S121" s="35"/>
      <c r="T121" s="40">
        <f t="shared" si="6"/>
        <v>0</v>
      </c>
      <c r="V121" s="323"/>
      <c r="W121" s="323"/>
      <c r="X121" s="323"/>
      <c r="Y121" s="323"/>
      <c r="Z121" s="323"/>
      <c r="AA121" s="323"/>
      <c r="AB121" s="323"/>
    </row>
    <row r="122" spans="1:28" s="3" customFormat="1" ht="25.4" hidden="1" customHeight="1">
      <c r="A122" s="3" t="s">
        <v>928</v>
      </c>
      <c r="B122" s="3" t="s">
        <v>1004</v>
      </c>
      <c r="D122" s="26" t="s">
        <v>929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3">
        <f t="shared" si="5"/>
        <v>0</v>
      </c>
      <c r="R122" s="39">
        <v>0</v>
      </c>
      <c r="S122" s="35"/>
      <c r="T122" s="40">
        <f t="shared" si="6"/>
        <v>0</v>
      </c>
      <c r="V122" s="323"/>
      <c r="W122" s="323"/>
      <c r="X122" s="323"/>
      <c r="Y122" s="323"/>
      <c r="Z122" s="323"/>
      <c r="AA122" s="323"/>
      <c r="AB122" s="323"/>
    </row>
    <row r="123" spans="1:28" s="3" customFormat="1" ht="25.4" hidden="1" customHeight="1">
      <c r="A123" s="3" t="s">
        <v>930</v>
      </c>
      <c r="B123" s="3" t="s">
        <v>1004</v>
      </c>
      <c r="D123" s="26" t="s">
        <v>931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3">
        <f t="shared" si="5"/>
        <v>0</v>
      </c>
      <c r="R123" s="39">
        <v>0</v>
      </c>
      <c r="S123" s="35"/>
      <c r="T123" s="40">
        <f t="shared" si="6"/>
        <v>0</v>
      </c>
      <c r="V123" s="323"/>
      <c r="W123" s="323"/>
      <c r="X123" s="323"/>
      <c r="Y123" s="323"/>
      <c r="Z123" s="323"/>
      <c r="AA123" s="323"/>
      <c r="AB123" s="323"/>
    </row>
    <row r="124" spans="1:28" s="3" customFormat="1" ht="25.4" hidden="1" customHeight="1">
      <c r="A124" s="3" t="s">
        <v>932</v>
      </c>
      <c r="B124" s="3" t="s">
        <v>1004</v>
      </c>
      <c r="D124" s="26" t="s">
        <v>933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3">
        <f t="shared" si="5"/>
        <v>0</v>
      </c>
      <c r="R124" s="39">
        <v>0</v>
      </c>
      <c r="S124" s="35"/>
      <c r="T124" s="40">
        <f t="shared" si="6"/>
        <v>0</v>
      </c>
      <c r="V124" s="323"/>
      <c r="W124" s="323"/>
      <c r="X124" s="323"/>
      <c r="Y124" s="323"/>
      <c r="Z124" s="323"/>
      <c r="AA124" s="323"/>
      <c r="AB124" s="323"/>
    </row>
    <row r="125" spans="1:28" s="3" customFormat="1" ht="25.4" hidden="1" customHeight="1">
      <c r="A125" s="3" t="s">
        <v>934</v>
      </c>
      <c r="B125" s="3" t="s">
        <v>1004</v>
      </c>
      <c r="D125" s="26" t="s">
        <v>935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3">
        <f t="shared" si="5"/>
        <v>0</v>
      </c>
      <c r="R125" s="39">
        <v>0</v>
      </c>
      <c r="S125" s="35"/>
      <c r="T125" s="40">
        <f t="shared" si="6"/>
        <v>0</v>
      </c>
      <c r="V125" s="323"/>
      <c r="W125" s="323"/>
      <c r="X125" s="323"/>
      <c r="Y125" s="323"/>
      <c r="Z125" s="323"/>
      <c r="AA125" s="323"/>
      <c r="AB125" s="323"/>
    </row>
    <row r="126" spans="1:28" s="3" customFormat="1" ht="25.4" hidden="1" customHeight="1">
      <c r="A126" s="3" t="s">
        <v>936</v>
      </c>
      <c r="B126" s="3" t="s">
        <v>1004</v>
      </c>
      <c r="D126" s="26" t="s">
        <v>937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3">
        <f t="shared" si="5"/>
        <v>0</v>
      </c>
      <c r="R126" s="39">
        <v>0</v>
      </c>
      <c r="S126" s="35"/>
      <c r="T126" s="40">
        <f t="shared" si="6"/>
        <v>0</v>
      </c>
      <c r="V126" s="323"/>
      <c r="W126" s="323"/>
      <c r="X126" s="323"/>
      <c r="Y126" s="323"/>
      <c r="Z126" s="323"/>
      <c r="AA126" s="323"/>
      <c r="AB126" s="323"/>
    </row>
    <row r="127" spans="1:28" s="3" customFormat="1" ht="25.4" hidden="1" customHeight="1">
      <c r="A127" s="3" t="s">
        <v>938</v>
      </c>
      <c r="B127" s="3" t="s">
        <v>1004</v>
      </c>
      <c r="D127" s="26" t="s">
        <v>939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3">
        <f t="shared" si="5"/>
        <v>0</v>
      </c>
      <c r="R127" s="39">
        <v>0</v>
      </c>
      <c r="S127" s="35"/>
      <c r="T127" s="40">
        <f t="shared" si="6"/>
        <v>0</v>
      </c>
      <c r="V127" s="323"/>
      <c r="W127" s="323"/>
      <c r="X127" s="323"/>
      <c r="Y127" s="323"/>
      <c r="Z127" s="323"/>
      <c r="AA127" s="323"/>
      <c r="AB127" s="323"/>
    </row>
    <row r="128" spans="1:28" s="3" customFormat="1" ht="25.4" hidden="1" customHeight="1">
      <c r="A128" s="3" t="s">
        <v>940</v>
      </c>
      <c r="B128" s="3" t="s">
        <v>1004</v>
      </c>
      <c r="D128" s="26" t="s">
        <v>941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3">
        <f t="shared" si="5"/>
        <v>0</v>
      </c>
      <c r="R128" s="39">
        <v>0</v>
      </c>
      <c r="S128" s="35"/>
      <c r="T128" s="40">
        <f t="shared" si="6"/>
        <v>0</v>
      </c>
      <c r="V128" s="323"/>
      <c r="W128" s="323"/>
      <c r="X128" s="323"/>
      <c r="Y128" s="323"/>
      <c r="Z128" s="323"/>
      <c r="AA128" s="323"/>
      <c r="AB128" s="323"/>
    </row>
    <row r="129" spans="1:28" s="3" customFormat="1" ht="25.4" hidden="1" customHeight="1">
      <c r="A129" s="3" t="s">
        <v>942</v>
      </c>
      <c r="B129" s="3" t="s">
        <v>1004</v>
      </c>
      <c r="D129" s="26" t="s">
        <v>943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3">
        <f t="shared" si="5"/>
        <v>0</v>
      </c>
      <c r="R129" s="39">
        <v>0</v>
      </c>
      <c r="S129" s="35"/>
      <c r="T129" s="40">
        <f t="shared" si="6"/>
        <v>0</v>
      </c>
      <c r="V129" s="323"/>
      <c r="W129" s="323"/>
      <c r="X129" s="323"/>
      <c r="Y129" s="323"/>
      <c r="Z129" s="323"/>
      <c r="AA129" s="323"/>
      <c r="AB129" s="323"/>
    </row>
    <row r="130" spans="1:28" s="3" customFormat="1" ht="25.4" hidden="1" customHeight="1">
      <c r="A130" s="3" t="s">
        <v>944</v>
      </c>
      <c r="B130" s="3" t="s">
        <v>1004</v>
      </c>
      <c r="D130" s="26" t="s">
        <v>945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3">
        <f t="shared" si="5"/>
        <v>0</v>
      </c>
      <c r="R130" s="39">
        <v>0</v>
      </c>
      <c r="S130" s="35"/>
      <c r="T130" s="40">
        <f t="shared" si="6"/>
        <v>0</v>
      </c>
      <c r="V130" s="323"/>
      <c r="W130" s="323"/>
      <c r="X130" s="323"/>
      <c r="Y130" s="323"/>
      <c r="Z130" s="323"/>
      <c r="AA130" s="323"/>
      <c r="AB130" s="323"/>
    </row>
    <row r="131" spans="1:28" s="3" customFormat="1" ht="25.4" hidden="1" customHeight="1">
      <c r="A131" s="3" t="s">
        <v>946</v>
      </c>
      <c r="B131" s="3" t="s">
        <v>1004</v>
      </c>
      <c r="D131" s="26" t="s">
        <v>947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3">
        <f t="shared" si="5"/>
        <v>0</v>
      </c>
      <c r="R131" s="39">
        <v>0</v>
      </c>
      <c r="S131" s="35"/>
      <c r="T131" s="40">
        <f t="shared" si="6"/>
        <v>0</v>
      </c>
      <c r="V131" s="323"/>
      <c r="W131" s="323"/>
      <c r="X131" s="323"/>
      <c r="Y131" s="323"/>
      <c r="Z131" s="323"/>
      <c r="AA131" s="323"/>
      <c r="AB131" s="323"/>
    </row>
    <row r="132" spans="1:28" s="3" customFormat="1" ht="25.4" hidden="1" customHeight="1">
      <c r="A132" s="3" t="s">
        <v>948</v>
      </c>
      <c r="B132" s="3" t="s">
        <v>1004</v>
      </c>
      <c r="D132" s="26" t="s">
        <v>949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3">
        <f t="shared" si="5"/>
        <v>0</v>
      </c>
      <c r="R132" s="39">
        <v>0</v>
      </c>
      <c r="S132" s="35"/>
      <c r="T132" s="40">
        <f t="shared" si="6"/>
        <v>0</v>
      </c>
      <c r="V132" s="323"/>
      <c r="W132" s="323"/>
      <c r="X132" s="323"/>
      <c r="Y132" s="323"/>
      <c r="Z132" s="323"/>
      <c r="AA132" s="323"/>
      <c r="AB132" s="323"/>
    </row>
    <row r="133" spans="1:28" s="3" customFormat="1" ht="25.4" hidden="1" customHeight="1">
      <c r="A133" s="3" t="s">
        <v>950</v>
      </c>
      <c r="B133" s="3" t="s">
        <v>1004</v>
      </c>
      <c r="D133" s="26" t="s">
        <v>951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3">
        <f t="shared" si="5"/>
        <v>0</v>
      </c>
      <c r="R133" s="39">
        <v>0</v>
      </c>
      <c r="S133" s="35"/>
      <c r="T133" s="40">
        <f t="shared" si="6"/>
        <v>0</v>
      </c>
      <c r="V133" s="323"/>
      <c r="W133" s="323"/>
      <c r="X133" s="323"/>
      <c r="Y133" s="323"/>
      <c r="Z133" s="323"/>
      <c r="AA133" s="323"/>
      <c r="AB133" s="323"/>
    </row>
    <row r="134" spans="1:28" s="3" customFormat="1" ht="25.4" hidden="1" customHeight="1">
      <c r="A134" s="3" t="s">
        <v>952</v>
      </c>
      <c r="B134" s="3" t="s">
        <v>1004</v>
      </c>
      <c r="D134" s="26" t="s">
        <v>953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3">
        <f t="shared" si="5"/>
        <v>0</v>
      </c>
      <c r="R134" s="39">
        <v>0</v>
      </c>
      <c r="S134" s="35"/>
      <c r="T134" s="40">
        <f t="shared" si="6"/>
        <v>0</v>
      </c>
      <c r="V134" s="323"/>
      <c r="W134" s="323"/>
      <c r="X134" s="323"/>
      <c r="Y134" s="323"/>
      <c r="Z134" s="323"/>
      <c r="AA134" s="323"/>
      <c r="AB134" s="323"/>
    </row>
    <row r="135" spans="1:28" s="3" customFormat="1" ht="25.4" hidden="1" customHeight="1">
      <c r="A135" s="3" t="s">
        <v>954</v>
      </c>
      <c r="B135" s="3" t="s">
        <v>1004</v>
      </c>
      <c r="D135" s="26" t="s">
        <v>955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3">
        <f t="shared" si="5"/>
        <v>0</v>
      </c>
      <c r="R135" s="39">
        <v>0</v>
      </c>
      <c r="S135" s="35"/>
      <c r="T135" s="40">
        <f t="shared" si="6"/>
        <v>0</v>
      </c>
      <c r="V135" s="323"/>
      <c r="W135" s="323"/>
      <c r="X135" s="323"/>
      <c r="Y135" s="323"/>
      <c r="Z135" s="323"/>
      <c r="AA135" s="323"/>
      <c r="AB135" s="323"/>
    </row>
    <row r="136" spans="1:28" s="3" customFormat="1" ht="25.4" hidden="1" customHeight="1">
      <c r="A136" s="3" t="s">
        <v>956</v>
      </c>
      <c r="B136" s="3" t="s">
        <v>1004</v>
      </c>
      <c r="D136" s="26" t="s">
        <v>957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3">
        <f t="shared" si="5"/>
        <v>0</v>
      </c>
      <c r="R136" s="39">
        <v>0</v>
      </c>
      <c r="S136" s="35"/>
      <c r="T136" s="40">
        <f t="shared" si="6"/>
        <v>0</v>
      </c>
      <c r="V136" s="323"/>
      <c r="W136" s="323"/>
      <c r="X136" s="323"/>
      <c r="Y136" s="323"/>
      <c r="Z136" s="323"/>
      <c r="AA136" s="323"/>
      <c r="AB136" s="323"/>
    </row>
    <row r="137" spans="1:28" s="3" customFormat="1" ht="25.4" hidden="1" customHeight="1">
      <c r="A137" s="3" t="s">
        <v>958</v>
      </c>
      <c r="B137" s="3" t="s">
        <v>1004</v>
      </c>
      <c r="D137" s="26" t="s">
        <v>959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3">
        <f t="shared" si="5"/>
        <v>0</v>
      </c>
      <c r="R137" s="39">
        <v>0</v>
      </c>
      <c r="S137" s="35"/>
      <c r="T137" s="40">
        <f t="shared" si="6"/>
        <v>0</v>
      </c>
      <c r="V137" s="323"/>
      <c r="W137" s="323"/>
      <c r="X137" s="323"/>
      <c r="Y137" s="323"/>
      <c r="Z137" s="323"/>
      <c r="AA137" s="323"/>
      <c r="AB137" s="323"/>
    </row>
    <row r="138" spans="1:28" s="3" customFormat="1" ht="25.4" hidden="1" customHeight="1">
      <c r="A138" s="3" t="s">
        <v>960</v>
      </c>
      <c r="B138" s="3" t="s">
        <v>1004</v>
      </c>
      <c r="D138" s="26" t="s">
        <v>961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3">
        <f t="shared" si="5"/>
        <v>0</v>
      </c>
      <c r="R138" s="39">
        <v>0</v>
      </c>
      <c r="S138" s="35"/>
      <c r="T138" s="40">
        <f t="shared" si="6"/>
        <v>0</v>
      </c>
      <c r="V138" s="323"/>
      <c r="W138" s="323"/>
      <c r="X138" s="323"/>
      <c r="Y138" s="323"/>
      <c r="Z138" s="323"/>
      <c r="AA138" s="323"/>
      <c r="AB138" s="323"/>
    </row>
    <row r="139" spans="1:28" s="3" customFormat="1" ht="25.4" hidden="1" customHeight="1">
      <c r="A139" s="3" t="s">
        <v>962</v>
      </c>
      <c r="B139" s="3" t="s">
        <v>1004</v>
      </c>
      <c r="D139" s="26" t="s">
        <v>963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3">
        <f t="shared" si="5"/>
        <v>0</v>
      </c>
      <c r="R139" s="39">
        <v>0</v>
      </c>
      <c r="S139" s="35"/>
      <c r="T139" s="40">
        <f t="shared" si="6"/>
        <v>0</v>
      </c>
      <c r="V139" s="323"/>
      <c r="W139" s="323"/>
      <c r="X139" s="323"/>
      <c r="Y139" s="323"/>
      <c r="Z139" s="323"/>
      <c r="AA139" s="323"/>
      <c r="AB139" s="323"/>
    </row>
    <row r="140" spans="1:28" s="3" customFormat="1" ht="25.4" hidden="1" customHeight="1">
      <c r="A140" s="3" t="s">
        <v>964</v>
      </c>
      <c r="B140" s="3" t="s">
        <v>1004</v>
      </c>
      <c r="D140" s="26" t="s">
        <v>965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3">
        <f t="shared" si="5"/>
        <v>0</v>
      </c>
      <c r="R140" s="39">
        <v>0</v>
      </c>
      <c r="S140" s="35"/>
      <c r="T140" s="40">
        <f t="shared" si="6"/>
        <v>0</v>
      </c>
      <c r="V140" s="323"/>
      <c r="W140" s="323"/>
      <c r="X140" s="323"/>
      <c r="Y140" s="323"/>
      <c r="Z140" s="323"/>
      <c r="AA140" s="323"/>
      <c r="AB140" s="323"/>
    </row>
    <row r="141" spans="1:28" s="3" customFormat="1" ht="25.4" hidden="1" customHeight="1">
      <c r="A141" s="3" t="s">
        <v>966</v>
      </c>
      <c r="B141" s="3" t="s">
        <v>1004</v>
      </c>
      <c r="D141" s="26" t="s">
        <v>967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3">
        <f t="shared" si="5"/>
        <v>0</v>
      </c>
      <c r="R141" s="39">
        <v>0</v>
      </c>
      <c r="S141" s="35"/>
      <c r="T141" s="40">
        <f t="shared" si="6"/>
        <v>0</v>
      </c>
      <c r="V141" s="323"/>
      <c r="W141" s="323"/>
      <c r="X141" s="323"/>
      <c r="Y141" s="323"/>
      <c r="Z141" s="323"/>
      <c r="AA141" s="323"/>
      <c r="AB141" s="323"/>
    </row>
    <row r="142" spans="1:28" s="3" customFormat="1" ht="25.4" hidden="1" customHeight="1">
      <c r="A142" s="3" t="s">
        <v>968</v>
      </c>
      <c r="B142" s="3" t="s">
        <v>1004</v>
      </c>
      <c r="D142" s="26" t="s">
        <v>969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3">
        <f t="shared" si="5"/>
        <v>0</v>
      </c>
      <c r="R142" s="39">
        <v>0</v>
      </c>
      <c r="S142" s="35"/>
      <c r="T142" s="40">
        <f t="shared" si="6"/>
        <v>0</v>
      </c>
      <c r="V142" s="323"/>
      <c r="W142" s="323"/>
      <c r="X142" s="323"/>
      <c r="Y142" s="323"/>
      <c r="Z142" s="323"/>
      <c r="AA142" s="323"/>
      <c r="AB142" s="323"/>
    </row>
    <row r="143" spans="1:28" s="3" customFormat="1" ht="25.4" hidden="1" customHeight="1">
      <c r="A143" s="3" t="s">
        <v>970</v>
      </c>
      <c r="B143" s="3" t="s">
        <v>1004</v>
      </c>
      <c r="D143" s="26" t="s">
        <v>971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3">
        <f t="shared" si="5"/>
        <v>0</v>
      </c>
      <c r="R143" s="39">
        <v>0</v>
      </c>
      <c r="S143" s="35"/>
      <c r="T143" s="40">
        <f t="shared" si="6"/>
        <v>0</v>
      </c>
      <c r="V143" s="323"/>
      <c r="W143" s="323"/>
      <c r="X143" s="323"/>
      <c r="Y143" s="323"/>
      <c r="Z143" s="323"/>
      <c r="AA143" s="323"/>
      <c r="AB143" s="323"/>
    </row>
    <row r="144" spans="1:28" s="3" customFormat="1" ht="25.4" hidden="1" customHeight="1">
      <c r="A144" s="3" t="s">
        <v>972</v>
      </c>
      <c r="B144" s="3" t="s">
        <v>1004</v>
      </c>
      <c r="D144" s="26" t="s">
        <v>973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3">
        <f t="shared" ref="Q144:Q157" si="7">SUM(E144:P144)</f>
        <v>0</v>
      </c>
      <c r="R144" s="39">
        <v>0</v>
      </c>
      <c r="S144" s="35"/>
      <c r="T144" s="40">
        <f t="shared" si="6"/>
        <v>0</v>
      </c>
      <c r="V144" s="323"/>
      <c r="W144" s="323"/>
      <c r="X144" s="323"/>
      <c r="Y144" s="323"/>
      <c r="Z144" s="323"/>
      <c r="AA144" s="323"/>
      <c r="AB144" s="323"/>
    </row>
    <row r="145" spans="1:28" s="3" customFormat="1" ht="25.4" hidden="1" customHeight="1">
      <c r="A145" s="3" t="s">
        <v>974</v>
      </c>
      <c r="B145" s="3" t="s">
        <v>1004</v>
      </c>
      <c r="D145" s="26" t="s">
        <v>975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3">
        <f t="shared" si="7"/>
        <v>0</v>
      </c>
      <c r="R145" s="39">
        <v>0</v>
      </c>
      <c r="S145" s="35"/>
      <c r="T145" s="40">
        <f t="shared" si="6"/>
        <v>0</v>
      </c>
      <c r="V145" s="323"/>
      <c r="W145" s="323"/>
      <c r="X145" s="323"/>
      <c r="Y145" s="323"/>
      <c r="Z145" s="323"/>
      <c r="AA145" s="323"/>
      <c r="AB145" s="323"/>
    </row>
    <row r="146" spans="1:28" s="3" customFormat="1" ht="25.4" hidden="1" customHeight="1">
      <c r="A146" s="3" t="s">
        <v>976</v>
      </c>
      <c r="B146" s="3" t="s">
        <v>1004</v>
      </c>
      <c r="D146" s="26" t="s">
        <v>977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3">
        <f t="shared" si="7"/>
        <v>0</v>
      </c>
      <c r="R146" s="39">
        <v>0</v>
      </c>
      <c r="S146" s="35"/>
      <c r="T146" s="40">
        <f t="shared" si="6"/>
        <v>0</v>
      </c>
      <c r="V146" s="323"/>
      <c r="W146" s="323"/>
      <c r="X146" s="323"/>
      <c r="Y146" s="323"/>
      <c r="Z146" s="323"/>
      <c r="AA146" s="323"/>
      <c r="AB146" s="323"/>
    </row>
    <row r="147" spans="1:28" s="3" customFormat="1" ht="25.4" hidden="1" customHeight="1">
      <c r="A147" s="3" t="s">
        <v>978</v>
      </c>
      <c r="B147" s="3" t="s">
        <v>1004</v>
      </c>
      <c r="D147" s="26" t="s">
        <v>979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3">
        <f t="shared" si="7"/>
        <v>0</v>
      </c>
      <c r="R147" s="39">
        <v>0</v>
      </c>
      <c r="S147" s="35"/>
      <c r="T147" s="40">
        <f t="shared" si="6"/>
        <v>0</v>
      </c>
      <c r="V147" s="323"/>
      <c r="W147" s="323"/>
      <c r="X147" s="323"/>
      <c r="Y147" s="323"/>
      <c r="Z147" s="323"/>
      <c r="AA147" s="323"/>
      <c r="AB147" s="323"/>
    </row>
    <row r="148" spans="1:28" s="3" customFormat="1" ht="25.4" hidden="1" customHeight="1">
      <c r="A148" s="3" t="s">
        <v>980</v>
      </c>
      <c r="B148" s="3" t="s">
        <v>1004</v>
      </c>
      <c r="D148" s="26" t="s">
        <v>981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3">
        <f t="shared" si="7"/>
        <v>0</v>
      </c>
      <c r="R148" s="39">
        <v>0</v>
      </c>
      <c r="S148" s="35"/>
      <c r="T148" s="40">
        <f t="shared" si="6"/>
        <v>0</v>
      </c>
      <c r="V148" s="323"/>
      <c r="W148" s="323"/>
      <c r="X148" s="323"/>
      <c r="Y148" s="323"/>
      <c r="Z148" s="323"/>
      <c r="AA148" s="323"/>
      <c r="AB148" s="323"/>
    </row>
    <row r="149" spans="1:28" s="3" customFormat="1" ht="25.4" hidden="1" customHeight="1">
      <c r="A149" s="3" t="s">
        <v>982</v>
      </c>
      <c r="B149" s="3" t="s">
        <v>1004</v>
      </c>
      <c r="D149" s="26" t="s">
        <v>983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3">
        <f t="shared" si="7"/>
        <v>0</v>
      </c>
      <c r="R149" s="39">
        <v>0</v>
      </c>
      <c r="S149" s="35"/>
      <c r="T149" s="40">
        <f t="shared" si="6"/>
        <v>0</v>
      </c>
      <c r="V149" s="323"/>
      <c r="W149" s="323"/>
      <c r="X149" s="323"/>
      <c r="Y149" s="323"/>
      <c r="Z149" s="323"/>
      <c r="AA149" s="323"/>
      <c r="AB149" s="323"/>
    </row>
    <row r="150" spans="1:28" s="3" customFormat="1" ht="25.4" hidden="1" customHeight="1">
      <c r="A150" s="3" t="s">
        <v>984</v>
      </c>
      <c r="B150" s="3" t="s">
        <v>1004</v>
      </c>
      <c r="D150" s="26" t="s">
        <v>985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3">
        <f t="shared" si="7"/>
        <v>0</v>
      </c>
      <c r="R150" s="39">
        <v>0</v>
      </c>
      <c r="S150" s="35"/>
      <c r="T150" s="40">
        <f t="shared" si="6"/>
        <v>0</v>
      </c>
      <c r="V150" s="323"/>
      <c r="W150" s="323"/>
      <c r="X150" s="323"/>
      <c r="Y150" s="323"/>
      <c r="Z150" s="323"/>
      <c r="AA150" s="323"/>
      <c r="AB150" s="323"/>
    </row>
    <row r="151" spans="1:28" s="3" customFormat="1" ht="25.4" hidden="1" customHeight="1">
      <c r="A151" s="3" t="s">
        <v>986</v>
      </c>
      <c r="B151" s="3" t="s">
        <v>1004</v>
      </c>
      <c r="D151" s="26" t="s">
        <v>987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3">
        <f t="shared" si="7"/>
        <v>0</v>
      </c>
      <c r="R151" s="39">
        <v>0</v>
      </c>
      <c r="S151" s="35"/>
      <c r="T151" s="40">
        <f t="shared" ref="T151:T159" si="8">-IF(Q151-S151=0,0,(Q151-S151)/S151)</f>
        <v>0</v>
      </c>
      <c r="V151" s="323"/>
      <c r="W151" s="323"/>
      <c r="X151" s="323"/>
      <c r="Y151" s="323"/>
      <c r="Z151" s="323"/>
      <c r="AA151" s="323"/>
      <c r="AB151" s="323"/>
    </row>
    <row r="152" spans="1:28" s="3" customFormat="1" ht="25.4" hidden="1" customHeight="1">
      <c r="A152" s="3" t="s">
        <v>988</v>
      </c>
      <c r="B152" s="3" t="s">
        <v>1004</v>
      </c>
      <c r="D152" s="26" t="s">
        <v>989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3">
        <f t="shared" si="7"/>
        <v>0</v>
      </c>
      <c r="R152" s="39">
        <v>0</v>
      </c>
      <c r="S152" s="35"/>
      <c r="T152" s="40">
        <f t="shared" si="8"/>
        <v>0</v>
      </c>
      <c r="V152" s="323"/>
      <c r="W152" s="323"/>
      <c r="X152" s="323"/>
      <c r="Y152" s="323"/>
      <c r="Z152" s="323"/>
      <c r="AA152" s="323"/>
      <c r="AB152" s="323"/>
    </row>
    <row r="153" spans="1:28" s="3" customFormat="1" ht="25.4" hidden="1" customHeight="1">
      <c r="A153" s="3" t="s">
        <v>990</v>
      </c>
      <c r="B153" s="3" t="s">
        <v>1004</v>
      </c>
      <c r="D153" s="26" t="s">
        <v>991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3">
        <f t="shared" si="7"/>
        <v>0</v>
      </c>
      <c r="R153" s="39">
        <v>0</v>
      </c>
      <c r="S153" s="35"/>
      <c r="T153" s="40">
        <f t="shared" si="8"/>
        <v>0</v>
      </c>
      <c r="V153" s="323"/>
      <c r="W153" s="323"/>
      <c r="X153" s="323"/>
      <c r="Y153" s="323"/>
      <c r="Z153" s="323"/>
      <c r="AA153" s="323"/>
      <c r="AB153" s="323"/>
    </row>
    <row r="154" spans="1:28" s="3" customFormat="1" ht="25.4" hidden="1" customHeight="1">
      <c r="A154" s="3" t="s">
        <v>992</v>
      </c>
      <c r="B154" s="3" t="s">
        <v>1004</v>
      </c>
      <c r="D154" s="26" t="s">
        <v>993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3">
        <f t="shared" si="7"/>
        <v>0</v>
      </c>
      <c r="R154" s="39">
        <v>0</v>
      </c>
      <c r="S154" s="35"/>
      <c r="T154" s="40">
        <f t="shared" si="8"/>
        <v>0</v>
      </c>
      <c r="V154" s="323"/>
      <c r="W154" s="323"/>
      <c r="X154" s="323"/>
      <c r="Y154" s="323"/>
      <c r="Z154" s="323"/>
      <c r="AA154" s="323"/>
      <c r="AB154" s="323"/>
    </row>
    <row r="155" spans="1:28" s="3" customFormat="1" ht="25.4" hidden="1" customHeight="1">
      <c r="A155" s="3" t="s">
        <v>994</v>
      </c>
      <c r="B155" s="3" t="s">
        <v>1004</v>
      </c>
      <c r="D155" s="26" t="s">
        <v>995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3">
        <f t="shared" si="7"/>
        <v>0</v>
      </c>
      <c r="R155" s="39">
        <v>0</v>
      </c>
      <c r="S155" s="35"/>
      <c r="T155" s="40">
        <f t="shared" si="8"/>
        <v>0</v>
      </c>
      <c r="V155" s="323"/>
      <c r="W155" s="323"/>
      <c r="X155" s="323"/>
      <c r="Y155" s="323"/>
      <c r="Z155" s="323"/>
      <c r="AA155" s="323"/>
      <c r="AB155" s="323"/>
    </row>
    <row r="156" spans="1:28" s="3" customFormat="1" ht="25.4" customHeight="1">
      <c r="A156" s="3" t="s">
        <v>996</v>
      </c>
      <c r="B156" s="3" t="s">
        <v>1004</v>
      </c>
      <c r="D156" s="26" t="s">
        <v>997</v>
      </c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3">
        <f t="shared" si="7"/>
        <v>0</v>
      </c>
      <c r="R156" s="39">
        <v>0</v>
      </c>
      <c r="S156" s="35"/>
      <c r="T156" s="40">
        <f t="shared" si="8"/>
        <v>0</v>
      </c>
      <c r="V156" s="323"/>
      <c r="W156" s="323"/>
      <c r="X156" s="323"/>
      <c r="Y156" s="323"/>
      <c r="Z156" s="323"/>
      <c r="AA156" s="323"/>
      <c r="AB156" s="323"/>
    </row>
    <row r="157" spans="1:28" s="3" customFormat="1" ht="25.4" customHeight="1">
      <c r="A157" s="3" t="s">
        <v>595</v>
      </c>
      <c r="B157" s="3" t="s">
        <v>1004</v>
      </c>
      <c r="D157" s="26" t="s">
        <v>596</v>
      </c>
      <c r="E157" s="27">
        <v>500</v>
      </c>
      <c r="F157" s="27">
        <v>500</v>
      </c>
      <c r="G157" s="27">
        <v>500</v>
      </c>
      <c r="H157" s="27">
        <v>500</v>
      </c>
      <c r="I157" s="27">
        <v>500</v>
      </c>
      <c r="J157" s="27">
        <v>500</v>
      </c>
      <c r="K157" s="27">
        <v>500</v>
      </c>
      <c r="L157" s="27">
        <v>500</v>
      </c>
      <c r="M157" s="27">
        <v>500</v>
      </c>
      <c r="N157" s="27">
        <v>500</v>
      </c>
      <c r="O157" s="27">
        <v>500</v>
      </c>
      <c r="P157" s="27">
        <v>500</v>
      </c>
      <c r="Q157" s="3">
        <f t="shared" si="7"/>
        <v>6000</v>
      </c>
      <c r="R157" s="39">
        <v>3.2488155091375419E-4</v>
      </c>
      <c r="S157" s="35"/>
      <c r="T157" s="40" t="e">
        <f t="shared" si="8"/>
        <v>#DIV/0!</v>
      </c>
      <c r="V157" s="323"/>
      <c r="W157" s="323"/>
      <c r="X157" s="323"/>
      <c r="Y157" s="323"/>
      <c r="Z157" s="323"/>
      <c r="AA157" s="323"/>
      <c r="AB157" s="323"/>
    </row>
    <row r="158" spans="1:28" s="19" customFormat="1" ht="25.4" customHeight="1">
      <c r="D158" s="21" t="s">
        <v>597</v>
      </c>
      <c r="E158" s="45">
        <f>SUM(E15:E157)</f>
        <v>72660.399999999994</v>
      </c>
      <c r="F158" s="45">
        <f t="shared" ref="F158:Q158" si="9">SUM(F15:F157)</f>
        <v>72377.239999999991</v>
      </c>
      <c r="G158" s="45">
        <f t="shared" si="9"/>
        <v>74324.28</v>
      </c>
      <c r="H158" s="45">
        <f t="shared" si="9"/>
        <v>92875.08</v>
      </c>
      <c r="I158" s="45">
        <f t="shared" si="9"/>
        <v>81343.8</v>
      </c>
      <c r="J158" s="45">
        <f t="shared" si="9"/>
        <v>78684.040000000008</v>
      </c>
      <c r="K158" s="45">
        <f t="shared" si="9"/>
        <v>126631.64</v>
      </c>
      <c r="L158" s="45">
        <f t="shared" si="9"/>
        <v>71638.040000000008</v>
      </c>
      <c r="M158" s="45">
        <f t="shared" si="9"/>
        <v>81675.320000000007</v>
      </c>
      <c r="N158" s="45">
        <f t="shared" si="9"/>
        <v>105326.84</v>
      </c>
      <c r="O158" s="45">
        <f t="shared" si="9"/>
        <v>78618.679999999993</v>
      </c>
      <c r="P158" s="45">
        <f t="shared" si="9"/>
        <v>80601.2</v>
      </c>
      <c r="Q158" s="45">
        <f t="shared" si="9"/>
        <v>1016756.56</v>
      </c>
      <c r="R158" s="39">
        <v>5.6194783520322131E-2</v>
      </c>
      <c r="S158" s="35"/>
      <c r="T158" s="40" t="e">
        <f t="shared" si="8"/>
        <v>#DIV/0!</v>
      </c>
    </row>
    <row r="159" spans="1:28" s="19" customFormat="1" ht="25.4" customHeight="1">
      <c r="D159" s="21" t="s">
        <v>598</v>
      </c>
      <c r="E159" s="45">
        <f>+E12+E158</f>
        <v>179493.62</v>
      </c>
      <c r="F159" s="45">
        <f t="shared" ref="F159:Q159" si="10">+F12+F158</f>
        <v>179220.38</v>
      </c>
      <c r="G159" s="45">
        <f t="shared" si="10"/>
        <v>180888.06</v>
      </c>
      <c r="H159" s="45">
        <f t="shared" si="10"/>
        <v>199464.78</v>
      </c>
      <c r="I159" s="45">
        <f t="shared" si="10"/>
        <v>187692.22</v>
      </c>
      <c r="J159" s="45">
        <f t="shared" si="10"/>
        <v>184850.94</v>
      </c>
      <c r="K159" s="45">
        <f t="shared" si="10"/>
        <v>232685.1</v>
      </c>
      <c r="L159" s="45">
        <f t="shared" si="10"/>
        <v>177705.82</v>
      </c>
      <c r="M159" s="45">
        <f t="shared" si="10"/>
        <v>187755.66</v>
      </c>
      <c r="N159" s="45">
        <f t="shared" si="10"/>
        <v>211446.62</v>
      </c>
      <c r="O159" s="45">
        <f t="shared" si="10"/>
        <v>184631.97999999998</v>
      </c>
      <c r="P159" s="45">
        <f t="shared" si="10"/>
        <v>186579.86</v>
      </c>
      <c r="Q159" s="45">
        <f t="shared" si="10"/>
        <v>2292415.04</v>
      </c>
      <c r="R159" s="39">
        <v>0.12809692077132939</v>
      </c>
      <c r="S159" s="35"/>
      <c r="T159" s="40" t="e">
        <f t="shared" si="8"/>
        <v>#DIV/0!</v>
      </c>
    </row>
    <row r="160" spans="1:28" s="3" customFormat="1" ht="25.4" customHeight="1">
      <c r="A160" s="77" t="s">
        <v>599</v>
      </c>
      <c r="B160" s="3" t="s">
        <v>1004</v>
      </c>
      <c r="D160" s="42" t="s">
        <v>353</v>
      </c>
      <c r="E160" s="27">
        <f t="shared" ref="E160:Q160" si="11">+E159</f>
        <v>179493.62</v>
      </c>
      <c r="F160" s="27">
        <f t="shared" si="11"/>
        <v>179220.38</v>
      </c>
      <c r="G160" s="27">
        <f t="shared" si="11"/>
        <v>180888.06</v>
      </c>
      <c r="H160" s="27">
        <f t="shared" si="11"/>
        <v>199464.78</v>
      </c>
      <c r="I160" s="27">
        <f t="shared" si="11"/>
        <v>187692.22</v>
      </c>
      <c r="J160" s="27">
        <f t="shared" si="11"/>
        <v>184850.94</v>
      </c>
      <c r="K160" s="27">
        <f t="shared" si="11"/>
        <v>232685.1</v>
      </c>
      <c r="L160" s="27">
        <f t="shared" si="11"/>
        <v>177705.82</v>
      </c>
      <c r="M160" s="27">
        <f t="shared" si="11"/>
        <v>187755.66</v>
      </c>
      <c r="N160" s="27">
        <f t="shared" si="11"/>
        <v>211446.62</v>
      </c>
      <c r="O160" s="27">
        <f t="shared" si="11"/>
        <v>184631.97999999998</v>
      </c>
      <c r="P160" s="27">
        <f t="shared" si="11"/>
        <v>186579.86</v>
      </c>
      <c r="Q160" s="3">
        <f t="shared" si="11"/>
        <v>2292415.04</v>
      </c>
      <c r="S160" s="35"/>
      <c r="T160" s="40" t="e">
        <f>IF(Q160-S160=0,0,(Q160-S160)/S160)</f>
        <v>#DIV/0!</v>
      </c>
    </row>
    <row r="161" spans="1:20" s="3" customFormat="1" ht="25.4" customHeight="1">
      <c r="D161" s="42"/>
      <c r="E161" s="68"/>
      <c r="F161" s="68"/>
      <c r="G161" s="68"/>
      <c r="H161" s="68"/>
      <c r="I161" s="68"/>
      <c r="S161" s="35"/>
      <c r="T161" s="40"/>
    </row>
    <row r="162" spans="1:20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S162" s="35"/>
      <c r="T162" s="40"/>
    </row>
    <row r="163" spans="1:20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S163" s="35"/>
      <c r="T163" s="40"/>
    </row>
    <row r="164" spans="1:20" s="3" customFormat="1" ht="25.4" customHeight="1">
      <c r="A164" s="253" t="s">
        <v>297</v>
      </c>
      <c r="B164" s="3" t="s">
        <v>1004</v>
      </c>
      <c r="D164" s="26" t="s">
        <v>299</v>
      </c>
      <c r="E164" s="43">
        <v>44460</v>
      </c>
      <c r="F164" s="43">
        <v>44460</v>
      </c>
      <c r="G164" s="43">
        <v>44460</v>
      </c>
      <c r="H164" s="43">
        <v>44460</v>
      </c>
      <c r="I164" s="43">
        <v>44460</v>
      </c>
      <c r="J164" s="43">
        <v>44460</v>
      </c>
      <c r="K164" s="43">
        <v>44460</v>
      </c>
      <c r="L164" s="43">
        <v>44460</v>
      </c>
      <c r="M164" s="43">
        <v>44460</v>
      </c>
      <c r="N164" s="43">
        <v>44460</v>
      </c>
      <c r="O164" s="43">
        <v>44460</v>
      </c>
      <c r="P164" s="43">
        <v>44460</v>
      </c>
      <c r="Q164" s="3">
        <f>SUM(E164:P164)</f>
        <v>533520</v>
      </c>
      <c r="R164" s="39">
        <v>2.8888467507251023E-2</v>
      </c>
      <c r="S164" s="35"/>
      <c r="T164" s="40" t="e">
        <f>-IF(Q164-S164=0,0,(Q164-S164)/S164)</f>
        <v>#DIV/0!</v>
      </c>
    </row>
    <row r="165" spans="1:20" s="3" customFormat="1" ht="25.4" customHeight="1">
      <c r="A165" s="50" t="s">
        <v>1064</v>
      </c>
      <c r="B165" s="3" t="s">
        <v>1004</v>
      </c>
      <c r="D165" s="26" t="s">
        <v>434</v>
      </c>
      <c r="E165" s="43">
        <v>26900</v>
      </c>
      <c r="F165" s="43">
        <v>26900</v>
      </c>
      <c r="G165" s="43">
        <v>26900</v>
      </c>
      <c r="H165" s="43">
        <v>26900</v>
      </c>
      <c r="I165" s="43">
        <v>26900</v>
      </c>
      <c r="J165" s="43">
        <v>26900</v>
      </c>
      <c r="K165" s="43">
        <v>26900</v>
      </c>
      <c r="L165" s="43">
        <v>26900</v>
      </c>
      <c r="M165" s="43">
        <v>26900</v>
      </c>
      <c r="N165" s="43">
        <v>26900</v>
      </c>
      <c r="O165" s="43">
        <v>26900</v>
      </c>
      <c r="P165" s="43">
        <v>26900</v>
      </c>
      <c r="Q165" s="3">
        <f>SUM(E165:P165)</f>
        <v>322800</v>
      </c>
      <c r="R165" s="39">
        <v>1.7608580059525477E-2</v>
      </c>
      <c r="S165" s="35"/>
      <c r="T165" s="40" t="e">
        <f>-IF(Q165-S165=0,0,(Q165-S165)/S165)</f>
        <v>#DIV/0!</v>
      </c>
    </row>
    <row r="166" spans="1:20" s="3" customFormat="1" ht="25.4" customHeight="1">
      <c r="B166" s="51"/>
      <c r="D166" s="21" t="s">
        <v>437</v>
      </c>
      <c r="E166" s="52">
        <f>SUM(E164:E165)</f>
        <v>71360</v>
      </c>
      <c r="F166" s="52">
        <f t="shared" ref="F166:Q166" si="12">SUM(F164:F165)</f>
        <v>71360</v>
      </c>
      <c r="G166" s="52">
        <f t="shared" si="12"/>
        <v>71360</v>
      </c>
      <c r="H166" s="52">
        <f t="shared" si="12"/>
        <v>71360</v>
      </c>
      <c r="I166" s="52">
        <f t="shared" si="12"/>
        <v>71360</v>
      </c>
      <c r="J166" s="52">
        <f t="shared" si="12"/>
        <v>71360</v>
      </c>
      <c r="K166" s="52">
        <f t="shared" si="12"/>
        <v>71360</v>
      </c>
      <c r="L166" s="52">
        <f t="shared" si="12"/>
        <v>71360</v>
      </c>
      <c r="M166" s="52">
        <f t="shared" si="12"/>
        <v>71360</v>
      </c>
      <c r="N166" s="52">
        <f t="shared" si="12"/>
        <v>71360</v>
      </c>
      <c r="O166" s="52">
        <f t="shared" si="12"/>
        <v>71360</v>
      </c>
      <c r="P166" s="52">
        <f t="shared" si="12"/>
        <v>71360</v>
      </c>
      <c r="Q166" s="52">
        <f t="shared" si="12"/>
        <v>856320</v>
      </c>
      <c r="R166" s="39">
        <v>4.64970475667765E-2</v>
      </c>
      <c r="S166" s="35"/>
      <c r="T166" s="40" t="e">
        <f>-IF(Q166-S166=0,0,(Q166-S166)/S166)</f>
        <v>#DIV/0!</v>
      </c>
    </row>
    <row r="167" spans="1:20" s="3" customFormat="1" ht="25.4" customHeight="1">
      <c r="B167" s="51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S167" s="35"/>
      <c r="T167" s="40"/>
    </row>
    <row r="168" spans="1:20" s="3" customFormat="1" ht="24.65" customHeight="1">
      <c r="A168" s="254" t="s">
        <v>603</v>
      </c>
      <c r="B168" s="3" t="s">
        <v>1004</v>
      </c>
      <c r="D168" s="26" t="s">
        <v>309</v>
      </c>
      <c r="E168" s="43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3">
        <f>SUM(E168:P168)</f>
        <v>0</v>
      </c>
      <c r="R168" s="39">
        <v>0</v>
      </c>
      <c r="S168" s="35"/>
      <c r="T168" s="40">
        <f>-IF(Q168-S168=0,0,(Q168-S168)/S168)</f>
        <v>0</v>
      </c>
    </row>
    <row r="169" spans="1:20" s="3" customFormat="1" ht="25.4" customHeight="1">
      <c r="A169" s="54" t="s">
        <v>310</v>
      </c>
      <c r="B169" s="3" t="s">
        <v>1004</v>
      </c>
      <c r="D169" s="26" t="s">
        <v>311</v>
      </c>
      <c r="E169" s="43">
        <v>892</v>
      </c>
      <c r="F169" s="43">
        <v>892</v>
      </c>
      <c r="G169" s="43">
        <v>892</v>
      </c>
      <c r="H169" s="43">
        <v>892</v>
      </c>
      <c r="I169" s="43">
        <v>892</v>
      </c>
      <c r="J169" s="43">
        <v>892</v>
      </c>
      <c r="K169" s="43">
        <v>892</v>
      </c>
      <c r="L169" s="43">
        <v>892</v>
      </c>
      <c r="M169" s="43">
        <v>892</v>
      </c>
      <c r="N169" s="43">
        <v>892</v>
      </c>
      <c r="O169" s="43">
        <v>892</v>
      </c>
      <c r="P169" s="43">
        <v>892</v>
      </c>
      <c r="Q169" s="3">
        <f t="shared" ref="Q169:Q174" si="13">SUM(E169:P169)</f>
        <v>10704</v>
      </c>
      <c r="R169" s="39">
        <v>3.874751798021036E-3</v>
      </c>
      <c r="S169" s="35"/>
      <c r="T169" s="40" t="e">
        <f>-IF(Q169-S169=0,0,(Q169-S169)/S169)</f>
        <v>#DIV/0!</v>
      </c>
    </row>
    <row r="170" spans="1:20" s="3" customFormat="1" ht="25.4" customHeight="1">
      <c r="A170" s="254" t="s">
        <v>604</v>
      </c>
      <c r="B170" s="3" t="s">
        <v>1004</v>
      </c>
      <c r="D170" s="26" t="s">
        <v>313</v>
      </c>
      <c r="E170" s="43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3">
        <f t="shared" si="13"/>
        <v>0</v>
      </c>
      <c r="R170" s="39">
        <v>0</v>
      </c>
      <c r="S170" s="35"/>
      <c r="T170" s="40">
        <f>-IF(Q170-S170=0,0,(Q170-S170)/S170)</f>
        <v>0</v>
      </c>
    </row>
    <row r="171" spans="1:20" s="3" customFormat="1" ht="25.4" customHeight="1">
      <c r="A171" s="254" t="s">
        <v>605</v>
      </c>
      <c r="B171" s="3" t="s">
        <v>1004</v>
      </c>
      <c r="D171" s="26" t="s">
        <v>315</v>
      </c>
      <c r="E171" s="43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3">
        <f t="shared" si="13"/>
        <v>0</v>
      </c>
      <c r="R171" s="39">
        <v>0</v>
      </c>
      <c r="S171" s="35"/>
      <c r="T171" s="40"/>
    </row>
    <row r="172" spans="1:20" s="3" customFormat="1" ht="24.75" customHeight="1">
      <c r="A172" s="254" t="s">
        <v>606</v>
      </c>
      <c r="B172" s="3" t="s">
        <v>1004</v>
      </c>
      <c r="D172" s="26" t="s">
        <v>317</v>
      </c>
      <c r="E172" s="68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3">
        <f t="shared" ref="Q172" si="14">SUM(E172:P172)</f>
        <v>0</v>
      </c>
      <c r="R172" s="39">
        <v>0</v>
      </c>
      <c r="S172" s="35"/>
      <c r="T172" s="40"/>
    </row>
    <row r="173" spans="1:20" s="3" customFormat="1" ht="24.75" customHeight="1">
      <c r="A173" s="254" t="s">
        <v>1066</v>
      </c>
      <c r="B173" s="3" t="s">
        <v>1004</v>
      </c>
      <c r="D173" s="26" t="s">
        <v>1139</v>
      </c>
      <c r="E173" s="68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3">
        <f t="shared" si="13"/>
        <v>0</v>
      </c>
      <c r="R173" s="39">
        <v>0</v>
      </c>
      <c r="S173" s="35"/>
      <c r="T173" s="40"/>
    </row>
    <row r="174" spans="1:20" s="3" customFormat="1" ht="24.75" customHeight="1">
      <c r="A174" s="254" t="s">
        <v>1066</v>
      </c>
      <c r="B174" s="3" t="s">
        <v>1004</v>
      </c>
      <c r="D174" s="26" t="s">
        <v>1070</v>
      </c>
      <c r="E174" s="43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3">
        <f t="shared" si="13"/>
        <v>0</v>
      </c>
      <c r="R174" s="39">
        <v>0</v>
      </c>
      <c r="S174" s="35"/>
      <c r="T174" s="40">
        <f>-IF(Q174-S174=0,0,(Q174-S174)/S174)</f>
        <v>0</v>
      </c>
    </row>
    <row r="175" spans="1:20" s="19" customFormat="1" ht="25.4" customHeight="1">
      <c r="A175" s="54"/>
      <c r="B175" s="51"/>
      <c r="D175" s="19" t="s">
        <v>318</v>
      </c>
      <c r="E175" s="52">
        <f>SUM(E168:E174)</f>
        <v>892</v>
      </c>
      <c r="F175" s="52">
        <f t="shared" ref="F175:Q175" si="15">SUM(F168:F174)</f>
        <v>892</v>
      </c>
      <c r="G175" s="52">
        <f t="shared" si="15"/>
        <v>892</v>
      </c>
      <c r="H175" s="52">
        <f t="shared" si="15"/>
        <v>892</v>
      </c>
      <c r="I175" s="52">
        <f t="shared" si="15"/>
        <v>892</v>
      </c>
      <c r="J175" s="52">
        <f t="shared" si="15"/>
        <v>892</v>
      </c>
      <c r="K175" s="52">
        <f t="shared" si="15"/>
        <v>892</v>
      </c>
      <c r="L175" s="52">
        <f t="shared" si="15"/>
        <v>892</v>
      </c>
      <c r="M175" s="52">
        <f t="shared" si="15"/>
        <v>892</v>
      </c>
      <c r="N175" s="52">
        <f t="shared" si="15"/>
        <v>892</v>
      </c>
      <c r="O175" s="52">
        <f t="shared" si="15"/>
        <v>892</v>
      </c>
      <c r="P175" s="52">
        <f t="shared" si="15"/>
        <v>892</v>
      </c>
      <c r="Q175" s="52">
        <f t="shared" si="15"/>
        <v>10704</v>
      </c>
      <c r="R175" s="39">
        <v>3.874751798021036E-3</v>
      </c>
      <c r="S175" s="35"/>
      <c r="T175" s="40" t="e">
        <f>-IF(Q175-S175=0,0,(Q175-S175)/S175)</f>
        <v>#DIV/0!</v>
      </c>
    </row>
    <row r="176" spans="1:20" s="3" customFormat="1" ht="25.4" customHeight="1">
      <c r="A176" s="50"/>
      <c r="D176" s="19"/>
      <c r="E176" s="53"/>
      <c r="F176" s="53"/>
      <c r="G176" s="53"/>
      <c r="H176" s="53"/>
      <c r="I176" s="53"/>
      <c r="S176" s="35"/>
      <c r="T176" s="40"/>
    </row>
    <row r="177" spans="1:20" s="3" customFormat="1" ht="25.4" customHeight="1">
      <c r="A177" s="254" t="s">
        <v>609</v>
      </c>
      <c r="B177" s="3" t="s">
        <v>1004</v>
      </c>
      <c r="D177" s="26" t="s">
        <v>320</v>
      </c>
      <c r="E177" s="43">
        <v>10867.8</v>
      </c>
      <c r="F177" s="43">
        <v>10867.8</v>
      </c>
      <c r="G177" s="43">
        <v>10867.8</v>
      </c>
      <c r="H177" s="43">
        <v>10867.8</v>
      </c>
      <c r="I177" s="43">
        <v>10867.8</v>
      </c>
      <c r="J177" s="43">
        <v>10867.8</v>
      </c>
      <c r="K177" s="43">
        <v>10867.8</v>
      </c>
      <c r="L177" s="43">
        <v>10867.8</v>
      </c>
      <c r="M177" s="43">
        <v>10867.8</v>
      </c>
      <c r="N177" s="43">
        <v>10867.8</v>
      </c>
      <c r="O177" s="43">
        <v>10867.8</v>
      </c>
      <c r="P177" s="43">
        <v>10867.8</v>
      </c>
      <c r="Q177" s="3">
        <f>SUM(E177:P177)</f>
        <v>130413.60000000002</v>
      </c>
      <c r="R177" s="39">
        <v>7.0614954380409968E-3</v>
      </c>
      <c r="S177" s="35"/>
      <c r="T177" s="40" t="e">
        <f t="shared" ref="T177:T185" si="16">-IF(Q177-S177=0,0,(Q177-S177)/S177)</f>
        <v>#DIV/0!</v>
      </c>
    </row>
    <row r="178" spans="1:20" s="3" customFormat="1" ht="25.4" customHeight="1">
      <c r="A178" s="254" t="s">
        <v>610</v>
      </c>
      <c r="B178" s="3" t="s">
        <v>1004</v>
      </c>
      <c r="D178" s="26" t="s">
        <v>322</v>
      </c>
      <c r="E178" s="43">
        <v>3969.06</v>
      </c>
      <c r="F178" s="43">
        <v>3969.06</v>
      </c>
      <c r="G178" s="43">
        <v>3969.06</v>
      </c>
      <c r="H178" s="43">
        <v>3969.06</v>
      </c>
      <c r="I178" s="43">
        <v>3969.06</v>
      </c>
      <c r="J178" s="43">
        <v>3969.06</v>
      </c>
      <c r="K178" s="43">
        <v>3969.06</v>
      </c>
      <c r="L178" s="43">
        <v>3969.06</v>
      </c>
      <c r="M178" s="43">
        <v>3969.06</v>
      </c>
      <c r="N178" s="43">
        <v>3969.06</v>
      </c>
      <c r="O178" s="43">
        <v>3969.06</v>
      </c>
      <c r="P178" s="43">
        <v>3969.06</v>
      </c>
      <c r="Q178" s="3">
        <f t="shared" ref="Q178:Q184" si="17">SUM(E178:P178)</f>
        <v>47628.719999999994</v>
      </c>
      <c r="R178" s="39">
        <v>2.5867458941614204E-3</v>
      </c>
      <c r="S178" s="35"/>
      <c r="T178" s="40" t="e">
        <f t="shared" si="16"/>
        <v>#DIV/0!</v>
      </c>
    </row>
    <row r="179" spans="1:20" s="3" customFormat="1" ht="25.4" customHeight="1">
      <c r="A179" s="254" t="s">
        <v>611</v>
      </c>
      <c r="B179" s="3" t="s">
        <v>1004</v>
      </c>
      <c r="D179" s="26" t="s">
        <v>324</v>
      </c>
      <c r="E179" s="43">
        <v>570.87999999999988</v>
      </c>
      <c r="F179" s="43">
        <v>570.88000000000011</v>
      </c>
      <c r="G179" s="43">
        <v>570.88000000000011</v>
      </c>
      <c r="H179" s="43">
        <v>570.88000000000011</v>
      </c>
      <c r="I179" s="43">
        <v>570.88000000000011</v>
      </c>
      <c r="J179" s="43">
        <v>570.88000000000011</v>
      </c>
      <c r="K179" s="43">
        <v>570.88000000000011</v>
      </c>
      <c r="L179" s="43">
        <v>570.88000000000011</v>
      </c>
      <c r="M179" s="43">
        <v>570.88000000000011</v>
      </c>
      <c r="N179" s="43">
        <v>570.88000000000011</v>
      </c>
      <c r="O179" s="43">
        <v>570.88000000000011</v>
      </c>
      <c r="P179" s="43">
        <v>570.88000000000011</v>
      </c>
      <c r="Q179" s="3">
        <f t="shared" si="17"/>
        <v>6850.5600000000013</v>
      </c>
      <c r="R179" s="39">
        <v>3.7197638053421193E-4</v>
      </c>
      <c r="S179" s="35"/>
      <c r="T179" s="40" t="e">
        <f t="shared" si="16"/>
        <v>#DIV/0!</v>
      </c>
    </row>
    <row r="180" spans="1:20" s="3" customFormat="1" ht="25.4" customHeight="1">
      <c r="A180" s="254" t="s">
        <v>612</v>
      </c>
      <c r="B180" s="3" t="s">
        <v>1004</v>
      </c>
      <c r="D180" s="26" t="s">
        <v>326</v>
      </c>
      <c r="E180" s="43">
        <v>285.43999999999994</v>
      </c>
      <c r="F180" s="43">
        <v>285.44000000000005</v>
      </c>
      <c r="G180" s="43">
        <v>285.44000000000005</v>
      </c>
      <c r="H180" s="43">
        <v>285.44000000000005</v>
      </c>
      <c r="I180" s="43">
        <v>285.44000000000005</v>
      </c>
      <c r="J180" s="43">
        <v>285.44000000000005</v>
      </c>
      <c r="K180" s="43">
        <v>285.44000000000005</v>
      </c>
      <c r="L180" s="43">
        <v>285.44000000000005</v>
      </c>
      <c r="M180" s="43">
        <v>285.44000000000005</v>
      </c>
      <c r="N180" s="43">
        <v>285.44000000000005</v>
      </c>
      <c r="O180" s="43">
        <v>285.44000000000005</v>
      </c>
      <c r="P180" s="43">
        <v>285.44000000000005</v>
      </c>
      <c r="Q180" s="3">
        <f t="shared" si="17"/>
        <v>3425.2800000000007</v>
      </c>
      <c r="R180" s="39">
        <v>1.8598819026710597E-4</v>
      </c>
      <c r="S180" s="35"/>
      <c r="T180" s="40" t="e">
        <f t="shared" si="16"/>
        <v>#DIV/0!</v>
      </c>
    </row>
    <row r="181" spans="1:20" s="3" customFormat="1" ht="25.4" customHeight="1">
      <c r="A181" s="254" t="s">
        <v>613</v>
      </c>
      <c r="B181" s="3" t="s">
        <v>1004</v>
      </c>
      <c r="D181" s="26" t="s">
        <v>328</v>
      </c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3">
        <f t="shared" si="17"/>
        <v>0</v>
      </c>
      <c r="R181" s="39">
        <v>0</v>
      </c>
      <c r="S181" s="35"/>
      <c r="T181" s="40">
        <f t="shared" si="16"/>
        <v>0</v>
      </c>
    </row>
    <row r="182" spans="1:20" s="3" customFormat="1" ht="25.4" customHeight="1">
      <c r="A182" s="254" t="s">
        <v>614</v>
      </c>
      <c r="B182" s="3" t="s">
        <v>1004</v>
      </c>
      <c r="D182" s="26" t="s">
        <v>330</v>
      </c>
      <c r="E182" s="43">
        <v>5709</v>
      </c>
      <c r="F182" s="43">
        <v>5709</v>
      </c>
      <c r="G182" s="43">
        <v>5709</v>
      </c>
      <c r="H182" s="43">
        <v>5709</v>
      </c>
      <c r="I182" s="43">
        <v>5709</v>
      </c>
      <c r="J182" s="43">
        <v>5709</v>
      </c>
      <c r="K182" s="43">
        <v>5709</v>
      </c>
      <c r="L182" s="43">
        <v>5709</v>
      </c>
      <c r="M182" s="43">
        <v>5709</v>
      </c>
      <c r="N182" s="43">
        <v>5709</v>
      </c>
      <c r="O182" s="43">
        <v>5709</v>
      </c>
      <c r="P182" s="43">
        <v>5709</v>
      </c>
      <c r="Q182" s="3">
        <f t="shared" si="17"/>
        <v>68508</v>
      </c>
      <c r="R182" s="39">
        <v>3.7198937579624859E-3</v>
      </c>
      <c r="S182" s="35"/>
      <c r="T182" s="40" t="e">
        <f t="shared" si="16"/>
        <v>#DIV/0!</v>
      </c>
    </row>
    <row r="183" spans="1:20" s="3" customFormat="1" ht="25.4" customHeight="1">
      <c r="A183" s="254" t="s">
        <v>615</v>
      </c>
      <c r="B183" s="3" t="s">
        <v>1004</v>
      </c>
      <c r="D183" s="26" t="s">
        <v>332</v>
      </c>
      <c r="E183" s="43">
        <v>1427.2</v>
      </c>
      <c r="F183" s="43">
        <v>1427.2</v>
      </c>
      <c r="G183" s="43">
        <v>1427.2</v>
      </c>
      <c r="H183" s="43">
        <v>1427.2</v>
      </c>
      <c r="I183" s="43">
        <v>1427.2</v>
      </c>
      <c r="J183" s="43">
        <v>1427.2</v>
      </c>
      <c r="K183" s="43">
        <v>1427.2</v>
      </c>
      <c r="L183" s="43">
        <v>1427.2</v>
      </c>
      <c r="M183" s="43">
        <v>1427.2</v>
      </c>
      <c r="N183" s="43">
        <v>1427.2</v>
      </c>
      <c r="O183" s="43">
        <v>1427.2</v>
      </c>
      <c r="P183" s="43">
        <v>1427.2</v>
      </c>
      <c r="Q183" s="3">
        <f t="shared" si="17"/>
        <v>17126.400000000005</v>
      </c>
      <c r="R183" s="39">
        <v>9.2994095133553029E-4</v>
      </c>
      <c r="S183" s="35"/>
      <c r="T183" s="40" t="e">
        <f t="shared" si="16"/>
        <v>#DIV/0!</v>
      </c>
    </row>
    <row r="184" spans="1:20" s="3" customFormat="1" ht="25.4" customHeight="1">
      <c r="A184" s="254" t="s">
        <v>616</v>
      </c>
      <c r="B184" s="3" t="s">
        <v>1004</v>
      </c>
      <c r="D184" s="26" t="s">
        <v>334</v>
      </c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3">
        <f t="shared" si="17"/>
        <v>0</v>
      </c>
      <c r="R184" s="39">
        <v>0</v>
      </c>
      <c r="S184" s="35"/>
      <c r="T184" s="40">
        <f t="shared" si="16"/>
        <v>0</v>
      </c>
    </row>
    <row r="185" spans="1:20" s="19" customFormat="1" ht="25.4" customHeight="1">
      <c r="A185" s="54"/>
      <c r="B185" s="51"/>
      <c r="D185" s="19" t="s">
        <v>335</v>
      </c>
      <c r="E185" s="45">
        <f>SUM(E177:E184)</f>
        <v>22829.38</v>
      </c>
      <c r="F185" s="45">
        <f t="shared" ref="F185:Q185" si="18">SUM(F177:F184)</f>
        <v>22829.38</v>
      </c>
      <c r="G185" s="45">
        <f t="shared" si="18"/>
        <v>22829.38</v>
      </c>
      <c r="H185" s="45">
        <f t="shared" si="18"/>
        <v>22829.38</v>
      </c>
      <c r="I185" s="45">
        <f t="shared" si="18"/>
        <v>22829.38</v>
      </c>
      <c r="J185" s="45">
        <f t="shared" si="18"/>
        <v>22829.38</v>
      </c>
      <c r="K185" s="45">
        <f t="shared" si="18"/>
        <v>22829.38</v>
      </c>
      <c r="L185" s="45">
        <f t="shared" si="18"/>
        <v>22829.38</v>
      </c>
      <c r="M185" s="45">
        <f t="shared" si="18"/>
        <v>22829.38</v>
      </c>
      <c r="N185" s="45">
        <f t="shared" si="18"/>
        <v>22829.38</v>
      </c>
      <c r="O185" s="45">
        <f t="shared" si="18"/>
        <v>22829.38</v>
      </c>
      <c r="P185" s="45">
        <f t="shared" si="18"/>
        <v>22829.38</v>
      </c>
      <c r="Q185" s="45">
        <f t="shared" si="18"/>
        <v>273952.56</v>
      </c>
      <c r="R185" s="39">
        <v>1.4856040612301754E-2</v>
      </c>
      <c r="S185" s="35"/>
      <c r="T185" s="40" t="e">
        <f t="shared" si="16"/>
        <v>#DIV/0!</v>
      </c>
    </row>
    <row r="186" spans="1:20" s="19" customFormat="1" ht="25.4" customHeight="1">
      <c r="A186" s="54"/>
      <c r="B186" s="51"/>
      <c r="D186" s="21"/>
      <c r="E186" s="55"/>
      <c r="F186" s="55"/>
      <c r="G186" s="55"/>
      <c r="H186" s="55"/>
      <c r="I186" s="55"/>
      <c r="S186" s="35"/>
      <c r="T186" s="40"/>
    </row>
    <row r="187" spans="1:20" s="3" customFormat="1" ht="25.4" customHeight="1">
      <c r="A187" s="254" t="s">
        <v>617</v>
      </c>
      <c r="B187" s="3" t="s">
        <v>1004</v>
      </c>
      <c r="D187" s="26" t="s">
        <v>337</v>
      </c>
      <c r="E187" s="68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3">
        <f>SUM(E187:P187)</f>
        <v>0</v>
      </c>
      <c r="R187" s="39">
        <v>0</v>
      </c>
      <c r="S187" s="35"/>
      <c r="T187" s="40">
        <f t="shared" ref="T187:T196" si="19">-IF(Q187-S187=0,0,(Q187-S187)/S187)</f>
        <v>0</v>
      </c>
    </row>
    <row r="188" spans="1:20" s="3" customFormat="1" ht="25.4" customHeight="1">
      <c r="A188" s="254" t="s">
        <v>618</v>
      </c>
      <c r="B188" s="3" t="s">
        <v>1004</v>
      </c>
      <c r="D188" s="3" t="s">
        <v>339</v>
      </c>
      <c r="E188" s="68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3">
        <f t="shared" ref="Q188:Q194" si="20">SUM(E188:P188)</f>
        <v>0</v>
      </c>
      <c r="R188" s="39">
        <v>0</v>
      </c>
      <c r="S188" s="35"/>
      <c r="T188" s="40">
        <f t="shared" si="19"/>
        <v>0</v>
      </c>
    </row>
    <row r="189" spans="1:20" s="3" customFormat="1" ht="25.4" customHeight="1">
      <c r="A189" s="254" t="s">
        <v>619</v>
      </c>
      <c r="B189" s="3" t="s">
        <v>1004</v>
      </c>
      <c r="D189" s="26" t="s">
        <v>341</v>
      </c>
      <c r="E189" s="68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3">
        <f t="shared" si="20"/>
        <v>0</v>
      </c>
      <c r="R189" s="39">
        <v>0</v>
      </c>
      <c r="S189" s="35"/>
      <c r="T189" s="40">
        <f t="shared" si="19"/>
        <v>0</v>
      </c>
    </row>
    <row r="190" spans="1:20" s="3" customFormat="1" ht="25.4" customHeight="1">
      <c r="A190" s="254" t="s">
        <v>620</v>
      </c>
      <c r="B190" s="3" t="s">
        <v>1004</v>
      </c>
      <c r="D190" s="26" t="s">
        <v>343</v>
      </c>
      <c r="E190" s="68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3">
        <f t="shared" si="20"/>
        <v>0</v>
      </c>
      <c r="R190" s="39">
        <v>0</v>
      </c>
      <c r="S190" s="35"/>
      <c r="T190" s="40">
        <f t="shared" si="19"/>
        <v>0</v>
      </c>
    </row>
    <row r="191" spans="1:20" s="3" customFormat="1" ht="25.4" customHeight="1">
      <c r="A191" s="254" t="s">
        <v>621</v>
      </c>
      <c r="B191" s="3" t="s">
        <v>1004</v>
      </c>
      <c r="D191" s="26" t="s">
        <v>345</v>
      </c>
      <c r="E191" s="43">
        <v>480</v>
      </c>
      <c r="F191" s="43">
        <v>640</v>
      </c>
      <c r="G191" s="43">
        <v>480</v>
      </c>
      <c r="H191" s="43">
        <v>480</v>
      </c>
      <c r="I191" s="43">
        <v>480</v>
      </c>
      <c r="J191" s="43">
        <v>480</v>
      </c>
      <c r="K191" s="43">
        <v>480</v>
      </c>
      <c r="L191" s="43">
        <v>480</v>
      </c>
      <c r="M191" s="43">
        <v>480</v>
      </c>
      <c r="N191" s="43">
        <v>480</v>
      </c>
      <c r="O191" s="43">
        <v>480</v>
      </c>
      <c r="P191" s="43">
        <v>480</v>
      </c>
      <c r="Q191" s="3">
        <f t="shared" si="20"/>
        <v>5920</v>
      </c>
      <c r="R191" s="39">
        <v>3.2054979690157082E-4</v>
      </c>
      <c r="S191" s="35"/>
      <c r="T191" s="40" t="e">
        <f t="shared" si="19"/>
        <v>#DIV/0!</v>
      </c>
    </row>
    <row r="192" spans="1:20" s="3" customFormat="1" ht="25.4" customHeight="1">
      <c r="A192" s="3" t="s">
        <v>622</v>
      </c>
      <c r="B192" s="3" t="s">
        <v>1004</v>
      </c>
      <c r="D192" s="26" t="s">
        <v>1005</v>
      </c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3">
        <f t="shared" si="20"/>
        <v>0</v>
      </c>
      <c r="R192" s="39">
        <v>0</v>
      </c>
      <c r="S192" s="35"/>
      <c r="T192" s="40">
        <f t="shared" si="19"/>
        <v>0</v>
      </c>
    </row>
    <row r="193" spans="1:20" s="3" customFormat="1" ht="25.4" customHeight="1">
      <c r="A193" s="254" t="s">
        <v>346</v>
      </c>
      <c r="B193" s="3" t="s">
        <v>1004</v>
      </c>
      <c r="D193" s="26" t="s">
        <v>347</v>
      </c>
      <c r="E193" s="43">
        <v>2845.84</v>
      </c>
      <c r="F193" s="43">
        <v>2834.64</v>
      </c>
      <c r="G193" s="43">
        <v>2823.52</v>
      </c>
      <c r="H193" s="43">
        <v>2812.48</v>
      </c>
      <c r="I193" s="43">
        <v>2737.68</v>
      </c>
      <c r="J193" s="43">
        <v>2696.64</v>
      </c>
      <c r="K193" s="43">
        <v>2647.0400000000004</v>
      </c>
      <c r="L193" s="43">
        <v>2647.0400000000004</v>
      </c>
      <c r="M193" s="43">
        <v>2627.76</v>
      </c>
      <c r="N193" s="43">
        <v>2608.7199999999998</v>
      </c>
      <c r="O193" s="43">
        <v>2599.2800000000002</v>
      </c>
      <c r="P193" s="43">
        <v>2589.92</v>
      </c>
      <c r="Q193" s="3">
        <f t="shared" si="20"/>
        <v>32470.559999999998</v>
      </c>
      <c r="R193" s="39">
        <v>1.7032630046065578E-3</v>
      </c>
      <c r="S193" s="35"/>
      <c r="T193" s="40" t="e">
        <f t="shared" si="19"/>
        <v>#DIV/0!</v>
      </c>
    </row>
    <row r="194" spans="1:20" s="3" customFormat="1" ht="25.4" customHeight="1">
      <c r="A194" s="254" t="s">
        <v>624</v>
      </c>
      <c r="B194" s="3" t="s">
        <v>1004</v>
      </c>
      <c r="D194" s="26" t="s">
        <v>349</v>
      </c>
      <c r="E194" s="43">
        <v>8426</v>
      </c>
      <c r="F194" s="43">
        <v>8287.1200000000008</v>
      </c>
      <c r="G194" s="43">
        <v>8178.8799999999992</v>
      </c>
      <c r="H194" s="43">
        <v>8215.8399999999983</v>
      </c>
      <c r="I194" s="43">
        <v>8049.36</v>
      </c>
      <c r="J194" s="43">
        <v>7908.8799999999992</v>
      </c>
      <c r="K194" s="43">
        <v>7845.04</v>
      </c>
      <c r="L194" s="43">
        <v>7859.36</v>
      </c>
      <c r="M194" s="43">
        <v>7891.1999999999989</v>
      </c>
      <c r="N194" s="43">
        <v>7949.68</v>
      </c>
      <c r="O194" s="43">
        <v>7852.64</v>
      </c>
      <c r="P194" s="43">
        <v>7827.36</v>
      </c>
      <c r="Q194" s="3">
        <f t="shared" si="20"/>
        <v>96291.359999999986</v>
      </c>
      <c r="R194" s="39">
        <v>4.6504844723998422E-3</v>
      </c>
      <c r="S194" s="35"/>
      <c r="T194" s="40" t="e">
        <f t="shared" si="19"/>
        <v>#DIV/0!</v>
      </c>
    </row>
    <row r="195" spans="1:20" s="3" customFormat="1" ht="25.4" customHeight="1">
      <c r="A195" s="54"/>
      <c r="B195" s="51"/>
      <c r="D195" s="19" t="s">
        <v>350</v>
      </c>
      <c r="E195" s="52">
        <f>SUM(E187:E194)</f>
        <v>11751.84</v>
      </c>
      <c r="F195" s="52">
        <f t="shared" ref="F195:Q195" si="21">SUM(F187:F194)</f>
        <v>11761.76</v>
      </c>
      <c r="G195" s="52">
        <f t="shared" si="21"/>
        <v>11482.4</v>
      </c>
      <c r="H195" s="52">
        <f t="shared" si="21"/>
        <v>11508.319999999998</v>
      </c>
      <c r="I195" s="52">
        <f t="shared" si="21"/>
        <v>11267.039999999999</v>
      </c>
      <c r="J195" s="52">
        <f t="shared" si="21"/>
        <v>11085.519999999999</v>
      </c>
      <c r="K195" s="52">
        <f t="shared" si="21"/>
        <v>10972.08</v>
      </c>
      <c r="L195" s="52">
        <f t="shared" si="21"/>
        <v>10986.4</v>
      </c>
      <c r="M195" s="52">
        <f t="shared" si="21"/>
        <v>10998.96</v>
      </c>
      <c r="N195" s="52">
        <f t="shared" si="21"/>
        <v>11038.4</v>
      </c>
      <c r="O195" s="52">
        <f t="shared" si="21"/>
        <v>10931.92</v>
      </c>
      <c r="P195" s="52">
        <f t="shared" si="21"/>
        <v>10897.279999999999</v>
      </c>
      <c r="Q195" s="52">
        <f t="shared" si="21"/>
        <v>134681.91999999998</v>
      </c>
      <c r="R195" s="39">
        <v>6.674297273907971E-3</v>
      </c>
      <c r="S195" s="35"/>
      <c r="T195" s="40" t="e">
        <f t="shared" si="19"/>
        <v>#DIV/0!</v>
      </c>
    </row>
    <row r="196" spans="1:20" s="3" customFormat="1" ht="25.4" customHeight="1">
      <c r="A196" s="54"/>
      <c r="B196" s="51"/>
      <c r="D196" s="19" t="s">
        <v>351</v>
      </c>
      <c r="E196" s="52">
        <f>E166+E175+E185+E195</f>
        <v>106833.22</v>
      </c>
      <c r="F196" s="52">
        <f t="shared" ref="F196:Q196" si="22">F166+F175+F185+F195</f>
        <v>106843.14</v>
      </c>
      <c r="G196" s="52">
        <f t="shared" si="22"/>
        <v>106563.78</v>
      </c>
      <c r="H196" s="52">
        <f t="shared" si="22"/>
        <v>106589.7</v>
      </c>
      <c r="I196" s="52">
        <f t="shared" si="22"/>
        <v>106348.42</v>
      </c>
      <c r="J196" s="52">
        <f t="shared" si="22"/>
        <v>106166.90000000001</v>
      </c>
      <c r="K196" s="52">
        <f t="shared" si="22"/>
        <v>106053.46</v>
      </c>
      <c r="L196" s="52">
        <f t="shared" si="22"/>
        <v>106067.78</v>
      </c>
      <c r="M196" s="52">
        <f t="shared" si="22"/>
        <v>106080.34</v>
      </c>
      <c r="N196" s="52">
        <f t="shared" si="22"/>
        <v>106119.78</v>
      </c>
      <c r="O196" s="52">
        <f t="shared" si="22"/>
        <v>106013.3</v>
      </c>
      <c r="P196" s="52">
        <f t="shared" si="22"/>
        <v>105978.66</v>
      </c>
      <c r="Q196" s="52">
        <f t="shared" si="22"/>
        <v>1275658.48</v>
      </c>
      <c r="R196" s="39">
        <v>7.1902137251007261E-2</v>
      </c>
      <c r="S196" s="35"/>
      <c r="T196" s="40" t="e">
        <f t="shared" si="19"/>
        <v>#DIV/0!</v>
      </c>
    </row>
    <row r="197" spans="1:20" s="3" customFormat="1" ht="25.4" customHeight="1">
      <c r="A197" s="54"/>
      <c r="B197" s="51"/>
      <c r="D197" s="21"/>
      <c r="E197" s="53"/>
      <c r="F197" s="53"/>
      <c r="G197" s="53"/>
      <c r="H197" s="53"/>
      <c r="I197" s="53"/>
      <c r="S197" s="35"/>
      <c r="T197" s="40"/>
    </row>
    <row r="198" spans="1:20" s="3" customFormat="1" ht="25.4" customHeight="1">
      <c r="A198" s="50" t="s">
        <v>108</v>
      </c>
      <c r="B198" s="3" t="s">
        <v>1004</v>
      </c>
      <c r="D198" s="19" t="s">
        <v>354</v>
      </c>
      <c r="E198" s="278">
        <v>8</v>
      </c>
      <c r="F198" s="278">
        <v>8</v>
      </c>
      <c r="G198" s="278">
        <v>8</v>
      </c>
      <c r="H198" s="278">
        <v>8</v>
      </c>
      <c r="I198" s="278">
        <v>8</v>
      </c>
      <c r="J198" s="278">
        <v>8</v>
      </c>
      <c r="K198" s="278">
        <v>8</v>
      </c>
      <c r="L198" s="278">
        <v>8</v>
      </c>
      <c r="M198" s="278">
        <v>8</v>
      </c>
      <c r="N198" s="278">
        <v>8</v>
      </c>
      <c r="O198" s="278">
        <v>8</v>
      </c>
      <c r="P198" s="278">
        <v>8</v>
      </c>
      <c r="Q198" s="309">
        <f>SUM(E198:P198)/12</f>
        <v>8</v>
      </c>
      <c r="S198" s="35"/>
      <c r="T198" s="40" t="e">
        <f>-IF(Q198-S198=0,0,(Q198-S198)/S198)</f>
        <v>#DIV/0!</v>
      </c>
    </row>
    <row r="205" spans="1:20" ht="26.25" customHeight="1">
      <c r="H205" s="80"/>
      <c r="I205" s="80"/>
    </row>
    <row r="206" spans="1:20" ht="26.25" customHeight="1">
      <c r="H206" s="80"/>
      <c r="I206" s="80"/>
    </row>
    <row r="207" spans="1:20" ht="26.25" customHeight="1">
      <c r="H207" s="80"/>
      <c r="I207" s="80"/>
    </row>
    <row r="208" spans="1:20" ht="26.25" customHeight="1">
      <c r="H208" s="80"/>
      <c r="I208" s="80"/>
    </row>
    <row r="209" spans="8:9" ht="26.25" customHeight="1">
      <c r="H209" s="80"/>
      <c r="I209" s="80"/>
    </row>
    <row r="210" spans="8:9" ht="26.25" customHeight="1">
      <c r="H210" s="80"/>
      <c r="I210" s="80"/>
    </row>
    <row r="211" spans="8:9" ht="26.25" customHeight="1">
      <c r="H211" s="80"/>
      <c r="I211" s="80"/>
    </row>
    <row r="212" spans="8:9" ht="26.25" customHeight="1">
      <c r="H212" s="80"/>
      <c r="I212" s="80"/>
    </row>
    <row r="213" spans="8:9" ht="26.25" customHeight="1">
      <c r="H213" s="80"/>
      <c r="I213" s="80"/>
    </row>
    <row r="214" spans="8:9" ht="26.25" customHeight="1">
      <c r="H214" s="27"/>
      <c r="I214" s="27"/>
    </row>
    <row r="215" spans="8:9" ht="26.25" customHeight="1">
      <c r="H215" s="27"/>
      <c r="I215" s="27"/>
    </row>
    <row r="216" spans="8:9" ht="26.25" customHeight="1">
      <c r="H216" s="68"/>
      <c r="I216" s="68"/>
    </row>
    <row r="217" spans="8:9" ht="26.25" customHeight="1">
      <c r="H217" s="53"/>
      <c r="I217" s="53"/>
    </row>
    <row r="218" spans="8:9" ht="26.25" customHeight="1">
      <c r="H218" s="27"/>
      <c r="I218" s="27"/>
    </row>
    <row r="219" spans="8:9" ht="26.25" customHeight="1">
      <c r="H219" s="27"/>
      <c r="I219" s="27"/>
    </row>
    <row r="220" spans="8:9" ht="26.25" customHeight="1">
      <c r="H220" s="27"/>
      <c r="I220" s="27"/>
    </row>
    <row r="221" spans="8:9" ht="26.25" customHeight="1">
      <c r="H221" s="27"/>
      <c r="I221" s="27"/>
    </row>
    <row r="222" spans="8:9" ht="26.25" customHeight="1">
      <c r="H222" s="27"/>
      <c r="I222" s="27"/>
    </row>
    <row r="223" spans="8:9" ht="26.25" customHeight="1">
      <c r="H223" s="27"/>
      <c r="I223" s="27"/>
    </row>
    <row r="224" spans="8:9" ht="26.25" customHeight="1">
      <c r="H224" s="68"/>
      <c r="I224" s="68"/>
    </row>
    <row r="225" spans="8:9" ht="26.25" customHeight="1">
      <c r="H225" s="53"/>
      <c r="I225" s="53"/>
    </row>
    <row r="226" spans="8:9" ht="26.25" customHeight="1">
      <c r="H226" s="27"/>
      <c r="I226" s="27"/>
    </row>
    <row r="227" spans="8:9" ht="26.25" customHeight="1">
      <c r="H227" s="27"/>
      <c r="I227" s="27"/>
    </row>
    <row r="228" spans="8:9" ht="26.25" customHeight="1">
      <c r="H228" s="27"/>
      <c r="I228" s="27"/>
    </row>
    <row r="229" spans="8:9" ht="26.25" customHeight="1">
      <c r="H229" s="27"/>
      <c r="I229" s="27"/>
    </row>
    <row r="230" spans="8:9" ht="26.25" customHeight="1">
      <c r="H230" s="27"/>
      <c r="I230" s="27"/>
    </row>
    <row r="231" spans="8:9" ht="26.25" customHeight="1">
      <c r="H231" s="27"/>
      <c r="I231" s="27"/>
    </row>
    <row r="232" spans="8:9" ht="26.25" customHeight="1">
      <c r="H232" s="27"/>
      <c r="I232" s="27"/>
    </row>
    <row r="233" spans="8:9" ht="26.25" customHeight="1">
      <c r="H233" s="27"/>
      <c r="I233" s="27"/>
    </row>
    <row r="234" spans="8:9" ht="26.25" customHeight="1">
      <c r="H234" s="62"/>
      <c r="I234" s="62"/>
    </row>
    <row r="235" spans="8:9" ht="26.25" customHeight="1">
      <c r="H235" s="55"/>
      <c r="I235" s="55"/>
    </row>
    <row r="236" spans="8:9" ht="26.25" customHeight="1">
      <c r="H236" s="27"/>
      <c r="I236" s="27"/>
    </row>
    <row r="237" spans="8:9" ht="26.25" customHeight="1">
      <c r="H237" s="27"/>
      <c r="I237" s="27"/>
    </row>
    <row r="238" spans="8:9" ht="26.25" customHeight="1">
      <c r="H238" s="27"/>
      <c r="I238" s="27"/>
    </row>
    <row r="239" spans="8:9" ht="26.25" customHeight="1">
      <c r="H239" s="27"/>
      <c r="I239" s="27"/>
    </row>
    <row r="240" spans="8:9" ht="26.25" customHeight="1">
      <c r="H240" s="27"/>
      <c r="I240" s="27"/>
    </row>
    <row r="241" spans="8:9" ht="26.25" customHeight="1">
      <c r="H241" s="27"/>
      <c r="I241" s="27"/>
    </row>
    <row r="242" spans="8:9" ht="26.25" customHeight="1">
      <c r="H242" s="27"/>
      <c r="I242" s="27"/>
    </row>
    <row r="243" spans="8:9" ht="26.25" customHeight="1">
      <c r="H243" s="27"/>
      <c r="I243" s="27"/>
    </row>
    <row r="244" spans="8:9" ht="26.25" customHeight="1">
      <c r="H244" s="68"/>
      <c r="I244" s="68"/>
    </row>
    <row r="245" spans="8:9" ht="26.25" customHeight="1">
      <c r="H245" s="68"/>
      <c r="I245" s="68"/>
    </row>
    <row r="246" spans="8:9" ht="26.25" customHeight="1">
      <c r="H246" s="53"/>
      <c r="I246" s="53"/>
    </row>
    <row r="247" spans="8:9" ht="26.25" customHeight="1">
      <c r="H247" s="27"/>
      <c r="I247" s="27"/>
    </row>
    <row r="248" spans="8:9" ht="26.25" customHeight="1">
      <c r="H248" s="80"/>
      <c r="I248" s="80"/>
    </row>
    <row r="249" spans="8:9" ht="26.25" customHeight="1">
      <c r="H249" s="80"/>
      <c r="I249" s="80"/>
    </row>
    <row r="250" spans="8:9" ht="26.25" customHeight="1">
      <c r="H250" s="80"/>
      <c r="I250" s="80"/>
    </row>
    <row r="251" spans="8:9" ht="26.25" customHeight="1">
      <c r="H251" s="80"/>
      <c r="I251" s="80"/>
    </row>
    <row r="252" spans="8:9" ht="26.25" customHeight="1">
      <c r="H252" s="80"/>
      <c r="I252" s="80"/>
    </row>
    <row r="253" spans="8:9" ht="26.25" customHeight="1">
      <c r="H253" s="80"/>
      <c r="I253" s="80"/>
    </row>
    <row r="254" spans="8:9" ht="26.25" customHeight="1">
      <c r="H254" s="80"/>
      <c r="I254" s="80"/>
    </row>
    <row r="255" spans="8:9" ht="26.25" customHeight="1">
      <c r="H255" s="80"/>
      <c r="I255" s="80"/>
    </row>
    <row r="256" spans="8:9" ht="26.25" customHeight="1">
      <c r="H256" s="80"/>
      <c r="I256" s="80"/>
    </row>
    <row r="257" spans="8:9" ht="26.25" customHeight="1">
      <c r="H257" s="80"/>
      <c r="I257" s="80"/>
    </row>
    <row r="258" spans="8:9" ht="26.25" customHeight="1">
      <c r="H258" s="80"/>
      <c r="I258" s="80"/>
    </row>
    <row r="259" spans="8:9" ht="26.25" customHeight="1">
      <c r="H259" s="80"/>
      <c r="I259" s="80"/>
    </row>
    <row r="260" spans="8:9" ht="26.25" customHeight="1">
      <c r="H260" s="80"/>
      <c r="I260" s="80"/>
    </row>
    <row r="261" spans="8:9" ht="26.25" customHeight="1">
      <c r="H261" s="80"/>
      <c r="I261" s="80"/>
    </row>
    <row r="262" spans="8:9" ht="26.25" customHeight="1">
      <c r="H262" s="80"/>
      <c r="I262" s="80"/>
    </row>
    <row r="263" spans="8:9" ht="26.25" customHeight="1">
      <c r="H263" s="27"/>
      <c r="I263" s="27"/>
    </row>
    <row r="264" spans="8:9" ht="26.25" customHeight="1">
      <c r="H264" s="27"/>
      <c r="I264" s="27"/>
    </row>
    <row r="265" spans="8:9" ht="26.25" customHeight="1">
      <c r="H265" s="68"/>
      <c r="I265" s="68"/>
    </row>
    <row r="266" spans="8:9" ht="26.25" customHeight="1">
      <c r="H266" s="53"/>
      <c r="I266" s="53"/>
    </row>
    <row r="267" spans="8:9" ht="26.25" customHeight="1">
      <c r="H267" s="27"/>
      <c r="I267" s="27"/>
    </row>
    <row r="268" spans="8:9" ht="26.25" customHeight="1">
      <c r="H268" s="27"/>
      <c r="I268" s="27"/>
    </row>
    <row r="269" spans="8:9" ht="26.25" customHeight="1">
      <c r="H269" s="27"/>
      <c r="I269" s="27"/>
    </row>
    <row r="270" spans="8:9" ht="26.25" customHeight="1">
      <c r="H270" s="27"/>
      <c r="I270" s="27"/>
    </row>
    <row r="271" spans="8:9" ht="26.25" customHeight="1">
      <c r="H271" s="27"/>
      <c r="I271" s="27"/>
    </row>
    <row r="272" spans="8:9" ht="26.25" customHeight="1">
      <c r="H272" s="27"/>
      <c r="I272" s="27"/>
    </row>
    <row r="273" spans="8:9" ht="26.25" customHeight="1">
      <c r="H273" s="68"/>
      <c r="I273" s="68"/>
    </row>
    <row r="274" spans="8:9" ht="26.25" customHeight="1">
      <c r="H274" s="53"/>
      <c r="I274" s="53"/>
    </row>
    <row r="275" spans="8:9" ht="26.25" customHeight="1">
      <c r="H275" s="27"/>
      <c r="I275" s="27"/>
    </row>
    <row r="276" spans="8:9" ht="26.25" customHeight="1">
      <c r="H276" s="27"/>
      <c r="I276" s="27"/>
    </row>
    <row r="277" spans="8:9" ht="26.25" customHeight="1">
      <c r="H277" s="27"/>
      <c r="I277" s="27"/>
    </row>
    <row r="278" spans="8:9" ht="26.25" customHeight="1">
      <c r="H278" s="27"/>
      <c r="I278" s="27"/>
    </row>
    <row r="279" spans="8:9" ht="26.25" customHeight="1">
      <c r="H279" s="27"/>
      <c r="I279" s="27"/>
    </row>
    <row r="280" spans="8:9" ht="26.25" customHeight="1">
      <c r="H280" s="27"/>
      <c r="I280" s="27"/>
    </row>
    <row r="281" spans="8:9" ht="26.25" customHeight="1">
      <c r="H281" s="27"/>
      <c r="I281" s="27"/>
    </row>
    <row r="282" spans="8:9" ht="26.25" customHeight="1">
      <c r="H282" s="27"/>
      <c r="I282" s="27"/>
    </row>
    <row r="283" spans="8:9" ht="26.25" customHeight="1">
      <c r="H283" s="62"/>
      <c r="I283" s="62"/>
    </row>
    <row r="284" spans="8:9" ht="26.25" customHeight="1">
      <c r="H284" s="55"/>
      <c r="I284" s="55"/>
    </row>
    <row r="285" spans="8:9" ht="26.25" customHeight="1">
      <c r="H285" s="27"/>
      <c r="I285" s="27"/>
    </row>
    <row r="286" spans="8:9" ht="26.25" customHeight="1">
      <c r="H286" s="27"/>
      <c r="I286" s="27"/>
    </row>
    <row r="287" spans="8:9" ht="26.25" customHeight="1">
      <c r="H287" s="27"/>
      <c r="I287" s="27"/>
    </row>
    <row r="288" spans="8:9" ht="26.25" customHeight="1">
      <c r="H288" s="27"/>
      <c r="I288" s="27"/>
    </row>
    <row r="289" spans="8:9" ht="26.25" customHeight="1">
      <c r="H289" s="27"/>
      <c r="I289" s="27"/>
    </row>
    <row r="290" spans="8:9" ht="26.25" customHeight="1">
      <c r="H290" s="27"/>
      <c r="I290" s="27"/>
    </row>
    <row r="291" spans="8:9" ht="26.25" customHeight="1">
      <c r="H291" s="27"/>
      <c r="I291" s="27"/>
    </row>
    <row r="292" spans="8:9" ht="26.25" customHeight="1">
      <c r="H292" s="27"/>
      <c r="I292" s="27"/>
    </row>
    <row r="293" spans="8:9" ht="26.25" customHeight="1">
      <c r="H293" s="68"/>
      <c r="I293" s="68"/>
    </row>
    <row r="294" spans="8:9" ht="26.25" customHeight="1">
      <c r="H294" s="68"/>
      <c r="I294" s="68"/>
    </row>
    <row r="295" spans="8:9" ht="26.25" customHeight="1">
      <c r="H295" s="53"/>
      <c r="I295" s="53"/>
    </row>
    <row r="296" spans="8:9" ht="26.25" customHeight="1">
      <c r="H296" s="27"/>
      <c r="I296" s="27"/>
    </row>
    <row r="297" spans="8:9" ht="26.25" customHeight="1">
      <c r="H297" s="80"/>
      <c r="I297" s="80"/>
    </row>
    <row r="298" spans="8:9" ht="26.25" customHeight="1">
      <c r="H298" s="80"/>
      <c r="I298" s="80"/>
    </row>
    <row r="299" spans="8:9" ht="26.25" customHeight="1">
      <c r="H299" s="80"/>
      <c r="I299" s="80"/>
    </row>
    <row r="300" spans="8:9" ht="26.25" customHeight="1">
      <c r="H300" s="80"/>
      <c r="I300" s="80"/>
    </row>
    <row r="301" spans="8:9" ht="26.25" customHeight="1">
      <c r="H301" s="80"/>
      <c r="I301" s="80"/>
    </row>
    <row r="302" spans="8:9" ht="26.25" customHeight="1">
      <c r="H302" s="80"/>
      <c r="I302" s="80"/>
    </row>
    <row r="303" spans="8:9" ht="26.25" customHeight="1">
      <c r="H303" s="80"/>
      <c r="I303" s="80"/>
    </row>
    <row r="304" spans="8:9" ht="26.25" customHeight="1">
      <c r="H304" s="80"/>
      <c r="I304" s="80"/>
    </row>
    <row r="305" spans="8:9" ht="26.25" customHeight="1">
      <c r="H305" s="80"/>
      <c r="I305" s="80"/>
    </row>
    <row r="306" spans="8:9" ht="26.25" customHeight="1">
      <c r="H306" s="80"/>
      <c r="I306" s="80"/>
    </row>
    <row r="307" spans="8:9" ht="26.25" customHeight="1">
      <c r="H307" s="80"/>
      <c r="I307" s="80"/>
    </row>
    <row r="308" spans="8:9" ht="26.25" customHeight="1">
      <c r="H308" s="80"/>
      <c r="I308" s="80"/>
    </row>
    <row r="309" spans="8:9" ht="26.25" customHeight="1">
      <c r="H309" s="80"/>
      <c r="I309" s="80"/>
    </row>
    <row r="310" spans="8:9" ht="26.25" customHeight="1">
      <c r="H310" s="80"/>
      <c r="I310" s="80"/>
    </row>
    <row r="311" spans="8:9" ht="26.25" customHeight="1">
      <c r="H311" s="80"/>
      <c r="I311" s="80"/>
    </row>
    <row r="312" spans="8:9" ht="26.25" customHeight="1">
      <c r="H312" s="27"/>
      <c r="I312" s="27"/>
    </row>
    <row r="313" spans="8:9" ht="26.25" customHeight="1">
      <c r="H313" s="27"/>
      <c r="I313" s="27"/>
    </row>
    <row r="314" spans="8:9" ht="26.25" customHeight="1">
      <c r="H314" s="68"/>
      <c r="I314" s="68"/>
    </row>
    <row r="315" spans="8:9" ht="26.25" customHeight="1">
      <c r="H315" s="53"/>
      <c r="I315" s="53"/>
    </row>
    <row r="316" spans="8:9" ht="26.25" customHeight="1">
      <c r="H316" s="27"/>
      <c r="I316" s="27"/>
    </row>
    <row r="317" spans="8:9" ht="26.25" customHeight="1">
      <c r="H317" s="27"/>
      <c r="I317" s="27"/>
    </row>
    <row r="318" spans="8:9" ht="26.25" customHeight="1">
      <c r="H318" s="27"/>
      <c r="I318" s="27"/>
    </row>
    <row r="319" spans="8:9" ht="26.25" customHeight="1">
      <c r="H319" s="27"/>
      <c r="I319" s="27"/>
    </row>
    <row r="320" spans="8:9" ht="26.25" customHeight="1">
      <c r="H320" s="27"/>
      <c r="I320" s="27"/>
    </row>
    <row r="321" spans="8:9" ht="26.25" customHeight="1">
      <c r="H321" s="27"/>
      <c r="I321" s="27"/>
    </row>
    <row r="322" spans="8:9" ht="26.25" customHeight="1">
      <c r="H322" s="68"/>
      <c r="I322" s="68"/>
    </row>
    <row r="323" spans="8:9" ht="26.25" customHeight="1">
      <c r="H323" s="53"/>
      <c r="I323" s="53"/>
    </row>
  </sheetData>
  <autoFilter ref="Q1:Q323"/>
  <phoneticPr fontId="56" type="noConversion"/>
  <dataValidations count="39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345.11_x000d__x000a_" sqref="E68:P68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6=8666.12_x000d__x000a_" sqref="E23:P23">
      <formula1>0</formula1>
      <formula2>300</formula2>
    </dataValidation>
    <dataValidation type="textLength" errorStyle="information" allowBlank="1" showInputMessage="1" showErrorMessage="1" error="XLBVal:6=686.98_x000d__x000a_" sqref="E26:P26">
      <formula1>0</formula1>
      <formula2>300</formula2>
    </dataValidation>
    <dataValidation type="textLength" errorStyle="information" allowBlank="1" showInputMessage="1" showErrorMessage="1" error="XLBVal:6=272.8_x000d__x000a_" sqref="E50:P50">
      <formula1>0</formula1>
      <formula2>300</formula2>
    </dataValidation>
    <dataValidation type="textLength" errorStyle="information" allowBlank="1" showInputMessage="1" showErrorMessage="1" error="XLBVal:6=1776.5_x000d__x000a_" sqref="E43:P43">
      <formula1>0</formula1>
      <formula2>300</formula2>
    </dataValidation>
    <dataValidation type="textLength" errorStyle="information" allowBlank="1" showInputMessage="1" showErrorMessage="1" error="XLBVal:6=108.95_x000d__x000a_" sqref="E69:P69">
      <formula1>0</formula1>
      <formula2>300</formula2>
    </dataValidation>
    <dataValidation type="textLength" errorStyle="information" allowBlank="1" showInputMessage="1" showErrorMessage="1" error="XLBVal:6=294_x000d__x000a_" sqref="E70:P70">
      <formula1>0</formula1>
      <formula2>300</formula2>
    </dataValidation>
    <dataValidation type="textLength" errorStyle="information" allowBlank="1" showInputMessage="1" showErrorMessage="1" error="XLBVal:6=0_x000d__x000a_" sqref="E158:Q158">
      <formula1>0</formula1>
      <formula2>300</formula2>
    </dataValidation>
    <dataValidation type="textLength" errorStyle="information" allowBlank="1" showInputMessage="1" showErrorMessage="1" error="XLBVal:6=3239.86_x000d__x000a_" sqref="E159:Q159">
      <formula1>0</formula1>
      <formula2>300</formula2>
    </dataValidation>
    <dataValidation type="textLength" errorStyle="information" allowBlank="1" showInputMessage="1" showErrorMessage="1" error="XLBVal:6=253281.72_x000d__x000a_" sqref="E160:P160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error="XLBVal:6=3678_x000d__x000a_" sqref="F186:G186 F185:Q185 E185:E186">
      <formula1>0</formula1>
      <formula2>300</formula2>
    </dataValidation>
    <dataValidation type="textLength" errorStyle="information" allowBlank="1" showInputMessage="1" showErrorMessage="1" error="XLBVal:6=870_x000d__x000a_" sqref="F170:P170">
      <formula1>0</formula1>
      <formula2>300</formula2>
    </dataValidation>
    <dataValidation type="textLength" errorStyle="information" allowBlank="1" showInputMessage="1" showErrorMessage="1" sqref="F195:Q196 H176:I176 H186:I186 F197:I197 E162:I163 E195:E197">
      <formula1>0</formula1>
      <formula2>300</formula2>
    </dataValidation>
    <dataValidation type="textLength" errorStyle="information" allowBlank="1" showInputMessage="1" showErrorMessage="1" error="XLBVal:6=1271.4_x000d__x000a_" sqref="F168:P168">
      <formula1>0</formula1>
      <formula2>300</formula2>
    </dataValidation>
    <dataValidation type="textLength" errorStyle="information" allowBlank="1" showInputMessage="1" showErrorMessage="1" error="XLBVal:6=1260_x000d__x000a_" sqref="Q198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2=0_x000d__x000a_" sqref="G15:Q22 E168 Q23:Q70 Q164:Q165 Q187:Q194 E193:P193 E27:P42 E24:P25 E170:E174 F171:P174 E187:P191 E184:P184 E51:P67 F13:F22 E44:P49 E15:E22 E71:Q157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69013_x000d__x000a_" sqref="Q168:Q174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470.34_x000d__x000a_" sqref="E183:P183">
      <formula1>0</formula1>
      <formula2>300</formula2>
    </dataValidation>
    <dataValidation type="textLength" errorStyle="information" allowBlank="1" showInputMessage="1" showErrorMessage="1" error="XLBVal:6=3_x000d__x000a_" sqref="E198:P198">
      <formula1>0</formula1>
      <formula2>300</formula2>
    </dataValidation>
    <dataValidation type="textLength" errorStyle="information" allowBlank="1" showInputMessage="1" showErrorMessage="1" error="XLBVal:6=170_x000d__x000a_" sqref="E181:P181">
      <formula1>0</formula1>
      <formula2>300</formula2>
    </dataValidation>
    <dataValidation type="textLength" errorStyle="information" allowBlank="1" showInputMessage="1" showErrorMessage="1" error="XLBVal:6=1643.16_x000d__x000a_" sqref="E194:P194">
      <formula1>0</formula1>
      <formula2>300</formula2>
    </dataValidation>
    <dataValidation type="textLength" errorStyle="information" allowBlank="1" showInputMessage="1" showErrorMessage="1" error="XLBVal:6=10739.79_x000d__x000a_" sqref="E192:P192">
      <formula1>0</formula1>
      <formula2>300</formula2>
    </dataValidation>
    <dataValidation type="textLength" errorStyle="information" allowBlank="1" showInputMessage="1" showErrorMessage="1" error="XLBVal:6=2146_x000d__x000a_" sqref="E182:P182">
      <formula1>0</formula1>
      <formula2>300</formula2>
    </dataValidation>
    <dataValidation type="textLength" errorStyle="information" allowBlank="1" showInputMessage="1" showErrorMessage="1" error="XLBVal:6=85.98_x000d__x000a_" sqref="E180:P180">
      <formula1>0</formula1>
      <formula2>300</formula2>
    </dataValidation>
    <dataValidation type="textLength" errorStyle="information" allowBlank="1" showInputMessage="1" showErrorMessage="1" error="XLBVal:6=107.47_x000d__x000a_" sqref="E179:P179">
      <formula1>0</formula1>
      <formula2>300</formula2>
    </dataValidation>
    <dataValidation type="textLength" errorStyle="information" allowBlank="1" showInputMessage="1" showErrorMessage="1" error="XLBVal:6=1700_x000d__x000a_" sqref="E178:P178">
      <formula1>0</formula1>
      <formula2>300</formula2>
    </dataValidation>
    <dataValidation type="textLength" errorStyle="information" allowBlank="1" showInputMessage="1" showErrorMessage="1" error="XLBVal:6=3439.04_x000d__x000a_" sqref="E177:P177">
      <formula1>0</formula1>
      <formula2>300</formula2>
    </dataValidation>
    <dataValidation type="textLength" errorStyle="information" allowBlank="1" showInputMessage="1" showErrorMessage="1" error="XLBVal:6=6517.24_x000d__x000a_" sqref="E165:P165">
      <formula1>0</formula1>
      <formula2>300</formula2>
    </dataValidation>
    <dataValidation type="textLength" errorStyle="information" allowBlank="1" showInputMessage="1" showErrorMessage="1" error="XLBVal:6=17000_x000d__x000a_" sqref="E164:P164">
      <formula1>0</formula1>
      <formula2>300</formula2>
    </dataValidation>
    <dataValidation type="textLength" errorStyle="information" allowBlank="1" showInputMessage="1" showErrorMessage="1" error="XLBVal:6=2166.67_x000d__x000a_" sqref="E169:P16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58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pageSetUpPr fitToPage="1"/>
  </sheetPr>
  <dimension ref="A1:W197"/>
  <sheetViews>
    <sheetView zoomScale="50" zoomScaleNormal="50" zoomScaleSheetLayoutView="40" workbookViewId="0">
      <pane xSplit="4" ySplit="12" topLeftCell="E13" activePane="bottomRight" state="frozen"/>
      <selection activeCell="N90" sqref="N90"/>
      <selection pane="topRight" activeCell="N90" sqref="N90"/>
      <selection pane="bottomLeft" activeCell="N90" sqref="N90"/>
      <selection pane="bottomRight" activeCell="E70" sqref="E70:P70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0.453125" style="6" customWidth="1" collapsed="1"/>
    <col min="5" max="9" width="22.08984375" style="7" customWidth="1"/>
    <col min="10" max="16" width="22.08984375" style="5" customWidth="1"/>
    <col min="17" max="17" width="26.08984375" style="5" customWidth="1"/>
    <col min="18" max="18" width="28.08984375" style="5" hidden="1" customWidth="1"/>
    <col min="19" max="19" width="8.90625" style="5"/>
    <col min="20" max="20" width="22.453125" style="8" hidden="1" customWidth="1"/>
    <col min="21" max="21" width="22.453125" style="5" hidden="1" customWidth="1"/>
    <col min="22" max="22" width="21.08984375" style="5" bestFit="1" customWidth="1"/>
    <col min="23" max="23" width="13.08984375" style="5" bestFit="1" customWidth="1"/>
    <col min="24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T3" s="32"/>
    </row>
    <row r="4" spans="1:21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T4" s="33"/>
    </row>
    <row r="5" spans="1:21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1006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T10" s="36" t="s">
        <v>23</v>
      </c>
      <c r="U10" s="37" t="s">
        <v>24</v>
      </c>
    </row>
    <row r="11" spans="1:21" s="3" customFormat="1" ht="25.4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1007</v>
      </c>
      <c r="D12" s="21" t="s">
        <v>139</v>
      </c>
      <c r="E12" s="43">
        <f>E195</f>
        <v>217211.33999999997</v>
      </c>
      <c r="F12" s="43">
        <f t="shared" ref="F12:P12" si="0">F195</f>
        <v>200930.22999999998</v>
      </c>
      <c r="G12" s="43">
        <f t="shared" si="0"/>
        <v>200395.06000000003</v>
      </c>
      <c r="H12" s="43">
        <f t="shared" si="0"/>
        <v>205322.81999999998</v>
      </c>
      <c r="I12" s="43">
        <f t="shared" si="0"/>
        <v>208044.46000000002</v>
      </c>
      <c r="J12" s="43">
        <f t="shared" si="0"/>
        <v>199547.63000000003</v>
      </c>
      <c r="K12" s="43">
        <f t="shared" si="0"/>
        <v>199315.41999999998</v>
      </c>
      <c r="L12" s="43">
        <f t="shared" si="0"/>
        <v>199349.43999999997</v>
      </c>
      <c r="M12" s="43">
        <f t="shared" si="0"/>
        <v>199393.74</v>
      </c>
      <c r="N12" s="43">
        <f t="shared" si="0"/>
        <v>215694.77</v>
      </c>
      <c r="O12" s="43">
        <f t="shared" si="0"/>
        <v>199255.83000000002</v>
      </c>
      <c r="P12" s="43">
        <f t="shared" si="0"/>
        <v>199180.61999999997</v>
      </c>
      <c r="Q12" s="43">
        <f>SUM(E12:P12)</f>
        <v>2443641.36</v>
      </c>
      <c r="R12" s="43">
        <v>8988613.5600000005</v>
      </c>
      <c r="S12" s="39">
        <f>Q12/Summary!$Q$16</f>
        <v>3.0679649655479736E-2</v>
      </c>
      <c r="T12" s="35"/>
      <c r="U12" s="40" t="e">
        <f>-IF(Q12-T12=0,0,(Q12-T12)/T12)</f>
        <v>#DIV/0!</v>
      </c>
    </row>
    <row r="13" spans="1:21" s="3" customFormat="1" ht="25.4" customHeight="1">
      <c r="D13" s="26"/>
      <c r="E13" s="24"/>
      <c r="F13" s="24"/>
      <c r="G13" s="24"/>
      <c r="H13" s="25"/>
      <c r="I13" s="25"/>
      <c r="T13" s="35"/>
      <c r="U13" s="40"/>
    </row>
    <row r="14" spans="1:21" s="3" customFormat="1" ht="25.4" customHeight="1">
      <c r="D14" s="21" t="s">
        <v>140</v>
      </c>
      <c r="E14" s="24"/>
      <c r="F14" s="24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T14" s="35"/>
      <c r="U14" s="40"/>
    </row>
    <row r="15" spans="1:21" s="3" customFormat="1" ht="25.4" hidden="1" customHeight="1">
      <c r="A15" s="3" t="s">
        <v>468</v>
      </c>
      <c r="B15" s="3" t="s">
        <v>1007</v>
      </c>
      <c r="D15" s="26" t="s">
        <v>469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3">
        <f>SUM(E15:P15)</f>
        <v>0</v>
      </c>
      <c r="R15" s="3">
        <v>0</v>
      </c>
      <c r="S15" s="39">
        <f>Q15/Summary!$Q$16</f>
        <v>0</v>
      </c>
      <c r="T15" s="35"/>
      <c r="U15" s="40">
        <f t="shared" ref="U15:U22" si="1">IF(Q15-T15=0,0,(Q15-T15)/T15)</f>
        <v>0</v>
      </c>
    </row>
    <row r="16" spans="1:21" s="3" customFormat="1" ht="25.4" hidden="1" customHeight="1">
      <c r="A16" s="3" t="s">
        <v>470</v>
      </c>
      <c r="B16" s="3" t="s">
        <v>1007</v>
      </c>
      <c r="D16" s="28" t="s">
        <v>471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3">
        <f t="shared" ref="Q16:Q79" si="2">SUM(E16:P16)</f>
        <v>0</v>
      </c>
      <c r="R16" s="3">
        <v>0</v>
      </c>
      <c r="S16" s="39">
        <f>Q16/Summary!$Q$16</f>
        <v>0</v>
      </c>
      <c r="T16" s="35"/>
      <c r="U16" s="40">
        <f t="shared" si="1"/>
        <v>0</v>
      </c>
    </row>
    <row r="17" spans="1:21" s="3" customFormat="1" ht="25.4" hidden="1" customHeight="1">
      <c r="A17" s="3" t="s">
        <v>472</v>
      </c>
      <c r="B17" s="3" t="s">
        <v>1007</v>
      </c>
      <c r="D17" s="26" t="s">
        <v>473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3">
        <f t="shared" si="2"/>
        <v>0</v>
      </c>
      <c r="R17" s="3">
        <v>0</v>
      </c>
      <c r="S17" s="39">
        <f>Q17/Summary!$Q$16</f>
        <v>0</v>
      </c>
      <c r="T17" s="35"/>
      <c r="U17" s="40">
        <f t="shared" si="1"/>
        <v>0</v>
      </c>
    </row>
    <row r="18" spans="1:21" s="3" customFormat="1" ht="25.4" hidden="1" customHeight="1">
      <c r="A18" s="3" t="s">
        <v>474</v>
      </c>
      <c r="B18" s="3" t="s">
        <v>1007</v>
      </c>
      <c r="D18" s="26" t="s">
        <v>475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3">
        <f t="shared" si="2"/>
        <v>0</v>
      </c>
      <c r="R18" s="3">
        <v>0</v>
      </c>
      <c r="S18" s="39">
        <f>Q18/Summary!$Q$16</f>
        <v>0</v>
      </c>
      <c r="T18" s="35"/>
      <c r="U18" s="40">
        <f t="shared" si="1"/>
        <v>0</v>
      </c>
    </row>
    <row r="19" spans="1:21" s="3" customFormat="1" ht="25.4" hidden="1" customHeight="1">
      <c r="A19" s="3" t="s">
        <v>476</v>
      </c>
      <c r="B19" s="3" t="s">
        <v>1007</v>
      </c>
      <c r="D19" s="29" t="s">
        <v>477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">
        <f t="shared" si="2"/>
        <v>0</v>
      </c>
      <c r="R19" s="3">
        <v>0</v>
      </c>
      <c r="S19" s="39">
        <f>Q19/Summary!$Q$16</f>
        <v>0</v>
      </c>
      <c r="T19" s="35"/>
      <c r="U19" s="40">
        <f t="shared" si="1"/>
        <v>0</v>
      </c>
    </row>
    <row r="20" spans="1:21" s="3" customFormat="1" ht="25.4" hidden="1" customHeight="1">
      <c r="A20" s="3" t="s">
        <v>478</v>
      </c>
      <c r="B20" s="3" t="s">
        <v>1007</v>
      </c>
      <c r="D20" s="29" t="s">
        <v>479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3">
        <f t="shared" si="2"/>
        <v>0</v>
      </c>
      <c r="R20" s="3">
        <v>0</v>
      </c>
      <c r="S20" s="39">
        <f>Q20/Summary!$Q$16</f>
        <v>0</v>
      </c>
      <c r="T20" s="35"/>
      <c r="U20" s="40">
        <f t="shared" si="1"/>
        <v>0</v>
      </c>
    </row>
    <row r="21" spans="1:21" s="3" customFormat="1" ht="25.4" hidden="1" customHeight="1">
      <c r="A21" s="3" t="s">
        <v>480</v>
      </c>
      <c r="B21" s="3" t="s">
        <v>1007</v>
      </c>
      <c r="D21" s="26" t="s">
        <v>481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3">
        <f t="shared" si="2"/>
        <v>0</v>
      </c>
      <c r="R21" s="3">
        <v>0</v>
      </c>
      <c r="S21" s="39">
        <f>Q21/Summary!$Q$16</f>
        <v>0</v>
      </c>
      <c r="T21" s="35"/>
      <c r="U21" s="40">
        <f t="shared" si="1"/>
        <v>0</v>
      </c>
    </row>
    <row r="22" spans="1:21" s="3" customFormat="1" ht="25.4" hidden="1" customHeight="1">
      <c r="A22" s="3" t="s">
        <v>482</v>
      </c>
      <c r="B22" s="3" t="s">
        <v>1007</v>
      </c>
      <c r="D22" s="29" t="s">
        <v>483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">
        <f t="shared" si="2"/>
        <v>0</v>
      </c>
      <c r="R22" s="3">
        <v>0</v>
      </c>
      <c r="S22" s="39">
        <f>Q22/Summary!$Q$16</f>
        <v>0</v>
      </c>
      <c r="T22" s="35"/>
      <c r="U22" s="40">
        <f t="shared" si="1"/>
        <v>0</v>
      </c>
    </row>
    <row r="23" spans="1:21" s="3" customFormat="1" ht="25.4" hidden="1" customHeight="1">
      <c r="A23" s="3" t="s">
        <v>484</v>
      </c>
      <c r="B23" s="3" t="s">
        <v>1007</v>
      </c>
      <c r="D23" s="26" t="s">
        <v>485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">
        <f t="shared" si="2"/>
        <v>0</v>
      </c>
      <c r="R23" s="3">
        <v>719109.44</v>
      </c>
      <c r="S23" s="39">
        <f>Q23/Summary!$Q$16</f>
        <v>0</v>
      </c>
      <c r="T23" s="35"/>
      <c r="U23" s="40">
        <f>-IF(Q23-T23=0,0,(Q23-T23)/T23)</f>
        <v>0</v>
      </c>
    </row>
    <row r="24" spans="1:21" s="3" customFormat="1" ht="25.4" hidden="1" customHeight="1">
      <c r="A24" s="3" t="s">
        <v>486</v>
      </c>
      <c r="B24" s="3" t="s">
        <v>1007</v>
      </c>
      <c r="D24" s="26" t="s">
        <v>487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">
        <f t="shared" si="2"/>
        <v>0</v>
      </c>
      <c r="R24" s="3">
        <v>0</v>
      </c>
      <c r="S24" s="39">
        <f>Q24/Summary!$Q$16</f>
        <v>0</v>
      </c>
      <c r="T24" s="35"/>
      <c r="U24" s="40">
        <f t="shared" ref="U24:U87" si="3">-IF(Q24-T24=0,0,(Q24-T24)/T24)</f>
        <v>0</v>
      </c>
    </row>
    <row r="25" spans="1:21" s="3" customFormat="1" ht="25.4" customHeight="1">
      <c r="A25" s="3" t="s">
        <v>488</v>
      </c>
      <c r="B25" s="3" t="s">
        <v>1007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">
        <f t="shared" si="2"/>
        <v>0</v>
      </c>
      <c r="R25" s="3">
        <v>2000</v>
      </c>
      <c r="S25" s="39">
        <f>Q25/Summary!$Q$16</f>
        <v>0</v>
      </c>
      <c r="T25" s="35"/>
      <c r="U25" s="40">
        <f t="shared" si="3"/>
        <v>0</v>
      </c>
    </row>
    <row r="26" spans="1:21" s="3" customFormat="1" ht="25.4" customHeight="1">
      <c r="A26" s="3" t="s">
        <v>490</v>
      </c>
      <c r="B26" s="3" t="s">
        <v>1007</v>
      </c>
      <c r="D26" s="26" t="s">
        <v>491</v>
      </c>
      <c r="E26" s="27">
        <v>1000</v>
      </c>
      <c r="F26" s="27">
        <v>1000</v>
      </c>
      <c r="G26" s="27">
        <v>1000</v>
      </c>
      <c r="H26" s="27">
        <v>1000</v>
      </c>
      <c r="I26" s="27">
        <v>1000</v>
      </c>
      <c r="J26" s="27">
        <v>1000</v>
      </c>
      <c r="K26" s="27">
        <v>1000</v>
      </c>
      <c r="L26" s="27">
        <v>1000</v>
      </c>
      <c r="M26" s="27">
        <v>4000</v>
      </c>
      <c r="N26" s="27">
        <v>1000</v>
      </c>
      <c r="O26" s="27">
        <v>1000</v>
      </c>
      <c r="P26" s="27">
        <v>4000</v>
      </c>
      <c r="Q26" s="3">
        <f t="shared" si="2"/>
        <v>18000</v>
      </c>
      <c r="R26" s="3">
        <v>154046.97</v>
      </c>
      <c r="S26" s="39">
        <f>Q26/Summary!$Q$16</f>
        <v>2.2598802870100191E-4</v>
      </c>
      <c r="T26" s="35"/>
      <c r="U26" s="40" t="e">
        <f t="shared" si="3"/>
        <v>#DIV/0!</v>
      </c>
    </row>
    <row r="27" spans="1:21" s="3" customFormat="1" ht="25.4" hidden="1" customHeight="1">
      <c r="A27" s="3" t="s">
        <v>492</v>
      </c>
      <c r="B27" s="3" t="s">
        <v>1007</v>
      </c>
      <c r="D27" s="26" t="s">
        <v>493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>
        <f t="shared" si="2"/>
        <v>0</v>
      </c>
      <c r="R27" s="3">
        <v>0</v>
      </c>
      <c r="S27" s="39">
        <f>Q27/Summary!$Q$16</f>
        <v>0</v>
      </c>
      <c r="T27" s="35"/>
      <c r="U27" s="40">
        <f t="shared" si="3"/>
        <v>0</v>
      </c>
    </row>
    <row r="28" spans="1:21" s="3" customFormat="1" ht="25.4" hidden="1" customHeight="1">
      <c r="A28" s="3" t="s">
        <v>494</v>
      </c>
      <c r="B28" s="3" t="s">
        <v>1007</v>
      </c>
      <c r="D28" s="26" t="s">
        <v>495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>
        <f t="shared" si="2"/>
        <v>0</v>
      </c>
      <c r="R28" s="3">
        <v>0</v>
      </c>
      <c r="S28" s="39">
        <f>Q28/Summary!$Q$16</f>
        <v>0</v>
      </c>
      <c r="T28" s="35"/>
      <c r="U28" s="40">
        <f t="shared" si="3"/>
        <v>0</v>
      </c>
    </row>
    <row r="29" spans="1:21" s="3" customFormat="1" ht="25.4" hidden="1" customHeight="1">
      <c r="A29" s="3" t="s">
        <v>496</v>
      </c>
      <c r="B29" s="3" t="s">
        <v>1007</v>
      </c>
      <c r="D29" s="26" t="s">
        <v>171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>
        <f t="shared" si="2"/>
        <v>0</v>
      </c>
      <c r="R29" s="3">
        <v>0</v>
      </c>
      <c r="S29" s="39">
        <f>Q29/Summary!$Q$16</f>
        <v>0</v>
      </c>
      <c r="T29" s="35"/>
      <c r="U29" s="40">
        <f t="shared" si="3"/>
        <v>0</v>
      </c>
    </row>
    <row r="30" spans="1:21" s="3" customFormat="1" ht="25.4" hidden="1" customHeight="1">
      <c r="A30" s="3" t="s">
        <v>497</v>
      </c>
      <c r="B30" s="3" t="s">
        <v>1007</v>
      </c>
      <c r="D30" s="26" t="s">
        <v>173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>
        <f t="shared" si="2"/>
        <v>0</v>
      </c>
      <c r="R30" s="3">
        <v>0</v>
      </c>
      <c r="S30" s="39">
        <f>Q30/Summary!$Q$16</f>
        <v>0</v>
      </c>
      <c r="T30" s="35"/>
      <c r="U30" s="40">
        <f t="shared" si="3"/>
        <v>0</v>
      </c>
    </row>
    <row r="31" spans="1:21" s="3" customFormat="1" ht="25.4" hidden="1" customHeight="1">
      <c r="A31" s="3" t="s">
        <v>498</v>
      </c>
      <c r="B31" s="3" t="s">
        <v>1007</v>
      </c>
      <c r="D31" s="26" t="s">
        <v>499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>
        <f t="shared" si="2"/>
        <v>0</v>
      </c>
      <c r="R31" s="3">
        <v>0</v>
      </c>
      <c r="S31" s="39">
        <f>Q31/Summary!$Q$16</f>
        <v>0</v>
      </c>
      <c r="T31" s="35"/>
      <c r="U31" s="40">
        <f t="shared" si="3"/>
        <v>0</v>
      </c>
    </row>
    <row r="32" spans="1:21" s="3" customFormat="1" ht="25.4" hidden="1" customHeight="1">
      <c r="A32" s="3" t="s">
        <v>500</v>
      </c>
      <c r="B32" s="3" t="s">
        <v>1007</v>
      </c>
      <c r="D32" s="26" t="s">
        <v>501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>
        <f t="shared" si="2"/>
        <v>0</v>
      </c>
      <c r="R32" s="3">
        <v>0</v>
      </c>
      <c r="S32" s="39">
        <f>Q32/Summary!$Q$16</f>
        <v>0</v>
      </c>
      <c r="T32" s="35"/>
      <c r="U32" s="40">
        <f t="shared" si="3"/>
        <v>0</v>
      </c>
    </row>
    <row r="33" spans="1:21" s="3" customFormat="1" ht="25.4" hidden="1" customHeight="1">
      <c r="A33" s="3" t="s">
        <v>502</v>
      </c>
      <c r="B33" s="3" t="s">
        <v>1007</v>
      </c>
      <c r="D33" s="26" t="s">
        <v>503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>
        <f t="shared" si="2"/>
        <v>0</v>
      </c>
      <c r="R33" s="3">
        <v>0</v>
      </c>
      <c r="S33" s="39">
        <f>Q33/Summary!$Q$16</f>
        <v>0</v>
      </c>
      <c r="T33" s="35"/>
      <c r="U33" s="40">
        <f t="shared" si="3"/>
        <v>0</v>
      </c>
    </row>
    <row r="34" spans="1:21" s="3" customFormat="1" ht="25.4" hidden="1" customHeight="1">
      <c r="A34" s="3" t="s">
        <v>504</v>
      </c>
      <c r="B34" s="3" t="s">
        <v>1007</v>
      </c>
      <c r="D34" s="26" t="s">
        <v>505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>
        <f t="shared" si="2"/>
        <v>0</v>
      </c>
      <c r="R34" s="3">
        <v>0</v>
      </c>
      <c r="S34" s="39">
        <f>Q34/Summary!$Q$16</f>
        <v>0</v>
      </c>
      <c r="T34" s="35"/>
      <c r="U34" s="40">
        <f t="shared" si="3"/>
        <v>0</v>
      </c>
    </row>
    <row r="35" spans="1:21" s="3" customFormat="1" ht="25.4" hidden="1" customHeight="1">
      <c r="A35" s="3" t="s">
        <v>506</v>
      </c>
      <c r="B35" s="3" t="s">
        <v>1007</v>
      </c>
      <c r="D35" s="26" t="s">
        <v>507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>
        <f t="shared" si="2"/>
        <v>0</v>
      </c>
      <c r="R35" s="3">
        <v>0</v>
      </c>
      <c r="S35" s="39">
        <f>Q35/Summary!$Q$16</f>
        <v>0</v>
      </c>
      <c r="T35" s="35"/>
      <c r="U35" s="40">
        <f t="shared" si="3"/>
        <v>0</v>
      </c>
    </row>
    <row r="36" spans="1:21" s="3" customFormat="1" ht="25.4" hidden="1" customHeight="1">
      <c r="A36" s="3" t="s">
        <v>508</v>
      </c>
      <c r="B36" s="3" t="s">
        <v>1007</v>
      </c>
      <c r="D36" s="26" t="s">
        <v>509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>
        <f t="shared" si="2"/>
        <v>0</v>
      </c>
      <c r="R36" s="3">
        <v>0</v>
      </c>
      <c r="S36" s="39">
        <f>Q36/Summary!$Q$16</f>
        <v>0</v>
      </c>
      <c r="T36" s="35"/>
      <c r="U36" s="40">
        <f t="shared" si="3"/>
        <v>0</v>
      </c>
    </row>
    <row r="37" spans="1:21" s="3" customFormat="1" ht="25.4" hidden="1" customHeight="1">
      <c r="A37" s="3" t="s">
        <v>510</v>
      </c>
      <c r="B37" s="3" t="s">
        <v>1007</v>
      </c>
      <c r="D37" s="26" t="s">
        <v>511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>
        <f t="shared" si="2"/>
        <v>0</v>
      </c>
      <c r="R37" s="3">
        <v>0</v>
      </c>
      <c r="S37" s="39">
        <f>Q37/Summary!$Q$16</f>
        <v>0</v>
      </c>
      <c r="T37" s="35"/>
      <c r="U37" s="40">
        <f t="shared" si="3"/>
        <v>0</v>
      </c>
    </row>
    <row r="38" spans="1:21" s="3" customFormat="1" ht="25.4" hidden="1" customHeight="1">
      <c r="A38" s="3" t="s">
        <v>512</v>
      </c>
      <c r="B38" s="3" t="s">
        <v>1007</v>
      </c>
      <c r="D38" s="26" t="s">
        <v>513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>
        <f t="shared" si="2"/>
        <v>0</v>
      </c>
      <c r="R38" s="3">
        <v>0</v>
      </c>
      <c r="S38" s="39">
        <f>Q38/Summary!$Q$16</f>
        <v>0</v>
      </c>
      <c r="T38" s="35"/>
      <c r="U38" s="40">
        <f t="shared" si="3"/>
        <v>0</v>
      </c>
    </row>
    <row r="39" spans="1:21" s="3" customFormat="1" ht="25.4" hidden="1" customHeight="1">
      <c r="A39" s="3" t="s">
        <v>514</v>
      </c>
      <c r="B39" s="3" t="s">
        <v>1007</v>
      </c>
      <c r="D39" s="26" t="s">
        <v>515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>
        <f t="shared" si="2"/>
        <v>0</v>
      </c>
      <c r="R39" s="3">
        <v>0</v>
      </c>
      <c r="S39" s="39">
        <f>Q39/Summary!$Q$16</f>
        <v>0</v>
      </c>
      <c r="T39" s="35"/>
      <c r="U39" s="40">
        <f t="shared" si="3"/>
        <v>0</v>
      </c>
    </row>
    <row r="40" spans="1:21" s="3" customFormat="1" ht="25.4" hidden="1" customHeight="1">
      <c r="A40" s="3" t="s">
        <v>516</v>
      </c>
      <c r="B40" s="3" t="s">
        <v>1007</v>
      </c>
      <c r="D40" s="26" t="s">
        <v>517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>
        <f t="shared" si="2"/>
        <v>0</v>
      </c>
      <c r="R40" s="3">
        <v>0</v>
      </c>
      <c r="S40" s="39">
        <f>Q40/Summary!$Q$16</f>
        <v>0</v>
      </c>
      <c r="T40" s="35"/>
      <c r="U40" s="40">
        <f t="shared" si="3"/>
        <v>0</v>
      </c>
    </row>
    <row r="41" spans="1:21" s="3" customFormat="1" ht="25.4" hidden="1" customHeight="1">
      <c r="A41" s="3" t="s">
        <v>518</v>
      </c>
      <c r="B41" s="3" t="s">
        <v>1007</v>
      </c>
      <c r="D41" s="26" t="s">
        <v>519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>
        <f t="shared" si="2"/>
        <v>0</v>
      </c>
      <c r="R41" s="3">
        <v>0</v>
      </c>
      <c r="S41" s="39">
        <f>Q41/Summary!$Q$16</f>
        <v>0</v>
      </c>
      <c r="T41" s="35"/>
      <c r="U41" s="40">
        <f t="shared" si="3"/>
        <v>0</v>
      </c>
    </row>
    <row r="42" spans="1:21" s="3" customFormat="1" ht="25.4" customHeight="1">
      <c r="A42" s="3" t="s">
        <v>520</v>
      </c>
      <c r="B42" s="3" t="s">
        <v>1007</v>
      </c>
      <c r="D42" s="26" t="s">
        <v>521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>
        <f t="shared" si="2"/>
        <v>0</v>
      </c>
      <c r="R42" s="3">
        <v>0</v>
      </c>
      <c r="S42" s="39">
        <f>Q42/Summary!$Q$16</f>
        <v>0</v>
      </c>
      <c r="T42" s="35"/>
      <c r="U42" s="40">
        <f t="shared" si="3"/>
        <v>0</v>
      </c>
    </row>
    <row r="43" spans="1:21" s="3" customFormat="1" ht="25.4" customHeight="1">
      <c r="A43" s="3" t="s">
        <v>522</v>
      </c>
      <c r="B43" s="3" t="s">
        <v>1007</v>
      </c>
      <c r="D43" s="26" t="s">
        <v>1203</v>
      </c>
      <c r="E43" s="27">
        <f>12*E197</f>
        <v>228</v>
      </c>
      <c r="F43" s="27">
        <f t="shared" ref="F43:P43" si="4">12*F197</f>
        <v>228</v>
      </c>
      <c r="G43" s="27">
        <f t="shared" si="4"/>
        <v>228</v>
      </c>
      <c r="H43" s="27">
        <f t="shared" si="4"/>
        <v>228</v>
      </c>
      <c r="I43" s="27">
        <f t="shared" si="4"/>
        <v>228</v>
      </c>
      <c r="J43" s="27">
        <f t="shared" si="4"/>
        <v>228</v>
      </c>
      <c r="K43" s="27">
        <f t="shared" si="4"/>
        <v>228</v>
      </c>
      <c r="L43" s="27">
        <f t="shared" si="4"/>
        <v>228</v>
      </c>
      <c r="M43" s="27">
        <f t="shared" si="4"/>
        <v>228</v>
      </c>
      <c r="N43" s="27">
        <f t="shared" si="4"/>
        <v>228</v>
      </c>
      <c r="O43" s="27">
        <f t="shared" si="4"/>
        <v>228</v>
      </c>
      <c r="P43" s="27">
        <f t="shared" si="4"/>
        <v>228</v>
      </c>
      <c r="Q43" s="3">
        <f t="shared" si="2"/>
        <v>2736</v>
      </c>
      <c r="R43" s="3">
        <v>29590.75</v>
      </c>
      <c r="S43" s="39">
        <f>Q43/Summary!$Q$16</f>
        <v>3.4350180362552287E-5</v>
      </c>
      <c r="T43" s="35"/>
      <c r="U43" s="40" t="e">
        <f t="shared" si="3"/>
        <v>#DIV/0!</v>
      </c>
    </row>
    <row r="44" spans="1:21" s="3" customFormat="1" ht="25.4" hidden="1" customHeight="1">
      <c r="A44" s="3" t="s">
        <v>524</v>
      </c>
      <c r="B44" s="3" t="s">
        <v>1007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">
        <v>0</v>
      </c>
      <c r="S44" s="39">
        <f>Q44/Summary!$Q$16</f>
        <v>0</v>
      </c>
      <c r="T44" s="35"/>
      <c r="U44" s="40">
        <f t="shared" si="3"/>
        <v>0</v>
      </c>
    </row>
    <row r="45" spans="1:21" s="3" customFormat="1" ht="25.4" hidden="1" customHeight="1">
      <c r="A45" s="3" t="s">
        <v>526</v>
      </c>
      <c r="B45" s="3" t="s">
        <v>1007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">
        <v>0</v>
      </c>
      <c r="S45" s="39">
        <f>Q45/Summary!$Q$16</f>
        <v>0</v>
      </c>
      <c r="T45" s="35"/>
      <c r="U45" s="40">
        <f t="shared" si="3"/>
        <v>0</v>
      </c>
    </row>
    <row r="46" spans="1:21" s="3" customFormat="1" ht="25.4" hidden="1" customHeight="1">
      <c r="A46" s="3" t="s">
        <v>528</v>
      </c>
      <c r="B46" s="3" t="s">
        <v>1007</v>
      </c>
      <c r="D46" s="26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">
        <v>0</v>
      </c>
      <c r="S46" s="39">
        <f>Q46/Summary!$Q$16</f>
        <v>0</v>
      </c>
      <c r="T46" s="35"/>
      <c r="U46" s="40">
        <f t="shared" si="3"/>
        <v>0</v>
      </c>
    </row>
    <row r="47" spans="1:21" s="3" customFormat="1" ht="25.4" hidden="1" customHeight="1">
      <c r="A47" s="3" t="s">
        <v>530</v>
      </c>
      <c r="B47" s="3" t="s">
        <v>1007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">
        <v>0</v>
      </c>
      <c r="S47" s="39">
        <f>Q47/Summary!$Q$16</f>
        <v>0</v>
      </c>
      <c r="T47" s="35"/>
      <c r="U47" s="40">
        <f t="shared" si="3"/>
        <v>0</v>
      </c>
    </row>
    <row r="48" spans="1:21" s="3" customFormat="1" ht="25.4" hidden="1" customHeight="1">
      <c r="A48" s="3" t="s">
        <v>532</v>
      </c>
      <c r="B48" s="3" t="s">
        <v>1007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">
        <v>0</v>
      </c>
      <c r="S48" s="39">
        <f>Q48/Summary!$Q$16</f>
        <v>0</v>
      </c>
      <c r="T48" s="35"/>
      <c r="U48" s="40">
        <f t="shared" si="3"/>
        <v>0</v>
      </c>
    </row>
    <row r="49" spans="1:21" s="3" customFormat="1" ht="25.4" hidden="1" customHeight="1">
      <c r="A49" s="3" t="s">
        <v>534</v>
      </c>
      <c r="B49" s="3" t="s">
        <v>1007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">
        <v>0</v>
      </c>
      <c r="S49" s="39">
        <f>Q49/Summary!$Q$16</f>
        <v>0</v>
      </c>
      <c r="T49" s="35"/>
      <c r="U49" s="40">
        <f t="shared" si="3"/>
        <v>0</v>
      </c>
    </row>
    <row r="50" spans="1:21" s="3" customFormat="1" ht="25.4" hidden="1" customHeight="1">
      <c r="A50" s="3" t="s">
        <v>536</v>
      </c>
      <c r="B50" s="3" t="s">
        <v>1007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">
        <v>10710.05</v>
      </c>
      <c r="S50" s="39">
        <f>Q50/Summary!$Q$16</f>
        <v>0</v>
      </c>
      <c r="T50" s="35"/>
      <c r="U50" s="40">
        <f t="shared" si="3"/>
        <v>0</v>
      </c>
    </row>
    <row r="51" spans="1:21" s="3" customFormat="1" ht="25.4" hidden="1" customHeight="1">
      <c r="A51" s="3" t="s">
        <v>538</v>
      </c>
      <c r="B51" s="3" t="s">
        <v>1007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">
        <v>0</v>
      </c>
      <c r="S51" s="39">
        <f>Q51/Summary!$Q$16</f>
        <v>0</v>
      </c>
      <c r="T51" s="35"/>
      <c r="U51" s="40">
        <f t="shared" si="3"/>
        <v>0</v>
      </c>
    </row>
    <row r="52" spans="1:21" s="3" customFormat="1" ht="25.4" hidden="1" customHeight="1">
      <c r="A52" s="3" t="s">
        <v>540</v>
      </c>
      <c r="B52" s="3" t="s">
        <v>1007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">
        <v>0</v>
      </c>
      <c r="S52" s="39">
        <f>Q52/Summary!$Q$16</f>
        <v>0</v>
      </c>
      <c r="T52" s="35"/>
      <c r="U52" s="40">
        <f t="shared" si="3"/>
        <v>0</v>
      </c>
    </row>
    <row r="53" spans="1:21" s="3" customFormat="1" ht="25.4" hidden="1" customHeight="1">
      <c r="A53" s="3" t="s">
        <v>542</v>
      </c>
      <c r="B53" s="3" t="s">
        <v>1007</v>
      </c>
      <c r="D53" s="26" t="s">
        <v>543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">
        <v>0</v>
      </c>
      <c r="S53" s="39">
        <f>Q53/Summary!$Q$16</f>
        <v>0</v>
      </c>
      <c r="T53" s="35"/>
      <c r="U53" s="40">
        <f t="shared" si="3"/>
        <v>0</v>
      </c>
    </row>
    <row r="54" spans="1:21" s="3" customFormat="1" ht="25.4" hidden="1" customHeight="1">
      <c r="A54" s="3" t="s">
        <v>544</v>
      </c>
      <c r="B54" s="3" t="s">
        <v>1007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">
        <v>0</v>
      </c>
      <c r="S54" s="39">
        <f>Q54/Summary!$Q$16</f>
        <v>0</v>
      </c>
      <c r="T54" s="35"/>
      <c r="U54" s="40">
        <f t="shared" si="3"/>
        <v>0</v>
      </c>
    </row>
    <row r="55" spans="1:21" s="3" customFormat="1" ht="25.4" hidden="1" customHeight="1">
      <c r="A55" s="3" t="s">
        <v>546</v>
      </c>
      <c r="B55" s="3" t="s">
        <v>1007</v>
      </c>
      <c r="D55" s="26" t="s">
        <v>547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>
        <f t="shared" si="2"/>
        <v>0</v>
      </c>
      <c r="R55" s="3">
        <v>20.6</v>
      </c>
      <c r="S55" s="39">
        <f>Q55/Summary!$Q$16</f>
        <v>0</v>
      </c>
      <c r="T55" s="35"/>
      <c r="U55" s="40">
        <f t="shared" si="3"/>
        <v>0</v>
      </c>
    </row>
    <row r="56" spans="1:21" s="3" customFormat="1" ht="25.4" hidden="1" customHeight="1">
      <c r="A56" s="3" t="s">
        <v>548</v>
      </c>
      <c r="B56" s="3" t="s">
        <v>1007</v>
      </c>
      <c r="D56" s="26" t="s">
        <v>1175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3">
        <f t="shared" si="2"/>
        <v>0</v>
      </c>
      <c r="R56" s="3">
        <v>0</v>
      </c>
      <c r="S56" s="39">
        <f>Q56/Summary!$Q$16</f>
        <v>0</v>
      </c>
      <c r="T56" s="35"/>
      <c r="U56" s="40">
        <f t="shared" si="3"/>
        <v>0</v>
      </c>
    </row>
    <row r="57" spans="1:21" s="3" customFormat="1" ht="25.4" hidden="1" customHeight="1">
      <c r="A57" s="3" t="s">
        <v>550</v>
      </c>
      <c r="B57" s="3" t="s">
        <v>1007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">
        <v>0</v>
      </c>
      <c r="S57" s="39">
        <f>Q57/Summary!$Q$16</f>
        <v>0</v>
      </c>
      <c r="T57" s="35"/>
      <c r="U57" s="40">
        <f t="shared" si="3"/>
        <v>0</v>
      </c>
    </row>
    <row r="58" spans="1:21" s="3" customFormat="1" ht="25.4" hidden="1" customHeight="1">
      <c r="A58" s="3" t="s">
        <v>552</v>
      </c>
      <c r="B58" s="3" t="s">
        <v>1007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">
        <v>0</v>
      </c>
      <c r="S58" s="39">
        <f>Q58/Summary!$Q$16</f>
        <v>0</v>
      </c>
      <c r="T58" s="35"/>
      <c r="U58" s="40">
        <f t="shared" si="3"/>
        <v>0</v>
      </c>
    </row>
    <row r="59" spans="1:21" s="3" customFormat="1" ht="25.4" hidden="1" customHeight="1">
      <c r="A59" s="3" t="s">
        <v>554</v>
      </c>
      <c r="B59" s="3" t="s">
        <v>1007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">
        <v>0</v>
      </c>
      <c r="S59" s="39">
        <f>Q59/Summary!$Q$16</f>
        <v>0</v>
      </c>
      <c r="T59" s="35"/>
      <c r="U59" s="40">
        <f t="shared" si="3"/>
        <v>0</v>
      </c>
    </row>
    <row r="60" spans="1:21" s="3" customFormat="1" ht="25.4" hidden="1" customHeight="1">
      <c r="A60" s="3" t="s">
        <v>556</v>
      </c>
      <c r="B60" s="3" t="s">
        <v>1007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">
        <v>0</v>
      </c>
      <c r="S60" s="39">
        <f>Q60/Summary!$Q$16</f>
        <v>0</v>
      </c>
      <c r="T60" s="35"/>
      <c r="U60" s="40">
        <f t="shared" si="3"/>
        <v>0</v>
      </c>
    </row>
    <row r="61" spans="1:21" s="3" customFormat="1" ht="25.4" hidden="1" customHeight="1">
      <c r="A61" s="3" t="s">
        <v>558</v>
      </c>
      <c r="B61" s="3" t="s">
        <v>1007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">
        <v>0</v>
      </c>
      <c r="S61" s="39">
        <f>Q61/Summary!$Q$16</f>
        <v>0</v>
      </c>
      <c r="T61" s="35"/>
      <c r="U61" s="40">
        <f t="shared" si="3"/>
        <v>0</v>
      </c>
    </row>
    <row r="62" spans="1:21" s="3" customFormat="1" ht="25.4" hidden="1" customHeight="1">
      <c r="A62" s="3" t="s">
        <v>560</v>
      </c>
      <c r="B62" s="3" t="s">
        <v>1007</v>
      </c>
      <c r="D62" s="26" t="s">
        <v>561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R62" s="3">
        <v>0</v>
      </c>
      <c r="S62" s="39">
        <f>Q62/Summary!$Q$16</f>
        <v>0</v>
      </c>
      <c r="T62" s="35"/>
      <c r="U62" s="40">
        <f t="shared" si="3"/>
        <v>0</v>
      </c>
    </row>
    <row r="63" spans="1:21" s="3" customFormat="1" ht="25.4" hidden="1" customHeight="1">
      <c r="A63" s="3" t="s">
        <v>562</v>
      </c>
      <c r="B63" s="3" t="s">
        <v>1007</v>
      </c>
      <c r="D63" s="26" t="s">
        <v>563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">
        <v>0</v>
      </c>
      <c r="S63" s="39">
        <f>Q63/Summary!$Q$16</f>
        <v>0</v>
      </c>
      <c r="T63" s="35"/>
      <c r="U63" s="40">
        <f t="shared" si="3"/>
        <v>0</v>
      </c>
    </row>
    <row r="64" spans="1:21" s="3" customFormat="1" ht="25.4" hidden="1" customHeight="1">
      <c r="A64" s="3" t="s">
        <v>564</v>
      </c>
      <c r="B64" s="3" t="s">
        <v>1007</v>
      </c>
      <c r="D64" s="26" t="s">
        <v>565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">
        <v>0</v>
      </c>
      <c r="S64" s="39">
        <f>Q64/Summary!$Q$16</f>
        <v>0</v>
      </c>
      <c r="T64" s="35"/>
      <c r="U64" s="40">
        <f t="shared" si="3"/>
        <v>0</v>
      </c>
    </row>
    <row r="65" spans="1:23" s="3" customFormat="1" ht="25.4" hidden="1" customHeight="1">
      <c r="A65" s="3" t="s">
        <v>566</v>
      </c>
      <c r="B65" s="3" t="s">
        <v>1007</v>
      </c>
      <c r="D65" s="26" t="s">
        <v>567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">
        <v>0</v>
      </c>
      <c r="S65" s="39">
        <f>Q65/Summary!$Q$16</f>
        <v>0</v>
      </c>
      <c r="T65" s="35"/>
      <c r="U65" s="40">
        <f t="shared" si="3"/>
        <v>0</v>
      </c>
    </row>
    <row r="66" spans="1:23" s="3" customFormat="1" ht="25.4" hidden="1" customHeight="1">
      <c r="A66" s="3" t="s">
        <v>568</v>
      </c>
      <c r="B66" s="3" t="s">
        <v>1007</v>
      </c>
      <c r="D66" s="26" t="s">
        <v>569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>
        <f t="shared" si="2"/>
        <v>0</v>
      </c>
      <c r="R66" s="3">
        <v>0</v>
      </c>
      <c r="S66" s="39">
        <f>Q66/Summary!$Q$16</f>
        <v>0</v>
      </c>
      <c r="T66" s="35"/>
      <c r="U66" s="40">
        <f t="shared" si="3"/>
        <v>0</v>
      </c>
    </row>
    <row r="67" spans="1:23" s="3" customFormat="1" ht="25.4" customHeight="1">
      <c r="A67" s="3" t="s">
        <v>570</v>
      </c>
      <c r="B67" s="3" t="s">
        <v>1007</v>
      </c>
      <c r="D67" s="26" t="s">
        <v>571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">
        <v>0</v>
      </c>
      <c r="S67" s="39">
        <f>Q67/Summary!$Q$16</f>
        <v>0</v>
      </c>
      <c r="T67" s="35"/>
      <c r="U67" s="40">
        <f t="shared" si="3"/>
        <v>0</v>
      </c>
    </row>
    <row r="68" spans="1:23" s="3" customFormat="1" ht="25.4" customHeight="1">
      <c r="A68" s="3" t="s">
        <v>572</v>
      </c>
      <c r="B68" s="3" t="s">
        <v>1007</v>
      </c>
      <c r="D68" s="26" t="s">
        <v>573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3">
        <f t="shared" si="2"/>
        <v>0</v>
      </c>
      <c r="R68" s="3">
        <v>4626.67</v>
      </c>
      <c r="S68" s="39">
        <f>Q68/Summary!$Q$16</f>
        <v>0</v>
      </c>
      <c r="T68" s="35"/>
      <c r="U68" s="40">
        <f t="shared" si="3"/>
        <v>0</v>
      </c>
    </row>
    <row r="69" spans="1:23" s="3" customFormat="1" ht="25.4" customHeight="1">
      <c r="A69" s="3" t="s">
        <v>574</v>
      </c>
      <c r="B69" s="3" t="s">
        <v>1007</v>
      </c>
      <c r="D69" s="26" t="s">
        <v>1228</v>
      </c>
      <c r="E69" s="27">
        <v>200</v>
      </c>
      <c r="F69" s="27">
        <v>200</v>
      </c>
      <c r="G69" s="27">
        <v>200</v>
      </c>
      <c r="H69" s="27">
        <v>200</v>
      </c>
      <c r="I69" s="27">
        <v>200</v>
      </c>
      <c r="J69" s="27">
        <v>200</v>
      </c>
      <c r="K69" s="27">
        <v>200</v>
      </c>
      <c r="L69" s="27">
        <v>200</v>
      </c>
      <c r="M69" s="27">
        <v>200</v>
      </c>
      <c r="N69" s="27">
        <v>200</v>
      </c>
      <c r="O69" s="27">
        <v>200</v>
      </c>
      <c r="P69" s="27">
        <v>200</v>
      </c>
      <c r="Q69" s="3">
        <f t="shared" si="2"/>
        <v>2400</v>
      </c>
      <c r="R69" s="3">
        <v>118770.64</v>
      </c>
      <c r="S69" s="39">
        <f>Q69/Summary!$Q$16</f>
        <v>3.0131737160133587E-5</v>
      </c>
      <c r="T69" s="35"/>
      <c r="U69" s="40" t="e">
        <f t="shared" si="3"/>
        <v>#DIV/0!</v>
      </c>
    </row>
    <row r="70" spans="1:23" s="3" customFormat="1" ht="25.4" customHeight="1">
      <c r="A70" s="3" t="s">
        <v>576</v>
      </c>
      <c r="B70" s="3" t="s">
        <v>1007</v>
      </c>
      <c r="D70" s="26" t="s">
        <v>1234</v>
      </c>
      <c r="E70" s="63">
        <v>5553.670000000001</v>
      </c>
      <c r="F70" s="27">
        <v>4883.5899999999983</v>
      </c>
      <c r="G70" s="27">
        <v>4757.78</v>
      </c>
      <c r="H70" s="27">
        <v>4878.4400000000005</v>
      </c>
      <c r="I70" s="27">
        <v>4804.1699999999992</v>
      </c>
      <c r="J70" s="27">
        <v>4424.7000000000007</v>
      </c>
      <c r="K70" s="27">
        <v>4300.28</v>
      </c>
      <c r="L70" s="27">
        <v>4315.4800000000014</v>
      </c>
      <c r="M70" s="27">
        <v>4404.03</v>
      </c>
      <c r="N70" s="27">
        <v>4763.84</v>
      </c>
      <c r="O70" s="27">
        <v>4269.49</v>
      </c>
      <c r="P70" s="27">
        <v>4225.6100000000006</v>
      </c>
      <c r="Q70" s="3">
        <f t="shared" si="2"/>
        <v>55581.079999999994</v>
      </c>
      <c r="R70" s="39">
        <v>31732.28</v>
      </c>
      <c r="S70" s="35">
        <f>Q70/Summary!$Q$16</f>
        <v>6.9781437234848229E-4</v>
      </c>
      <c r="T70" s="40"/>
      <c r="U70" s="3" t="e">
        <f t="shared" si="3"/>
        <v>#DIV/0!</v>
      </c>
      <c r="V70" s="3">
        <f>+Q70/12/Q197</f>
        <v>243.77666666666664</v>
      </c>
    </row>
    <row r="71" spans="1:23" s="3" customFormat="1" ht="24.75" customHeight="1">
      <c r="A71" s="3" t="s">
        <v>578</v>
      </c>
      <c r="B71" s="3" t="s">
        <v>1007</v>
      </c>
      <c r="D71" s="26" t="s">
        <v>579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">
        <v>38048.019999999997</v>
      </c>
      <c r="S71" s="39">
        <f>Q71/Summary!$Q$16</f>
        <v>0</v>
      </c>
      <c r="T71" s="35"/>
      <c r="U71" s="40">
        <f t="shared" si="3"/>
        <v>0</v>
      </c>
    </row>
    <row r="72" spans="1:23" s="306" customFormat="1" ht="25.4" customHeight="1">
      <c r="A72" s="306" t="s">
        <v>580</v>
      </c>
      <c r="B72" s="306" t="s">
        <v>1007</v>
      </c>
      <c r="D72" s="26" t="s">
        <v>1172</v>
      </c>
      <c r="E72" s="27">
        <v>200</v>
      </c>
      <c r="F72" s="27">
        <v>200</v>
      </c>
      <c r="G72" s="27">
        <v>200</v>
      </c>
      <c r="H72" s="27">
        <v>200</v>
      </c>
      <c r="I72" s="27">
        <v>200</v>
      </c>
      <c r="J72" s="27">
        <v>200</v>
      </c>
      <c r="K72" s="27">
        <v>200</v>
      </c>
      <c r="L72" s="27">
        <v>200</v>
      </c>
      <c r="M72" s="27">
        <v>200</v>
      </c>
      <c r="N72" s="27">
        <v>200</v>
      </c>
      <c r="O72" s="27">
        <v>200</v>
      </c>
      <c r="P72" s="27">
        <v>200</v>
      </c>
      <c r="Q72" s="3">
        <f t="shared" si="2"/>
        <v>2400</v>
      </c>
      <c r="R72" s="3">
        <v>67396.899999999994</v>
      </c>
      <c r="S72" s="39">
        <f>Q72/Summary!$Q$16</f>
        <v>3.0131737160133587E-5</v>
      </c>
      <c r="T72" s="35"/>
      <c r="U72" s="40" t="e">
        <f t="shared" si="3"/>
        <v>#DIV/0!</v>
      </c>
      <c r="V72" s="3" t="s">
        <v>1225</v>
      </c>
      <c r="W72" s="3">
        <v>200</v>
      </c>
    </row>
    <row r="73" spans="1:23" s="3" customFormat="1" ht="25.4" customHeight="1">
      <c r="A73" s="3" t="s">
        <v>582</v>
      </c>
      <c r="B73" s="3" t="s">
        <v>1007</v>
      </c>
      <c r="D73" s="26" t="s">
        <v>583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">
        <v>0</v>
      </c>
      <c r="S73" s="39">
        <f>Q73/Summary!$Q$16</f>
        <v>0</v>
      </c>
      <c r="T73" s="35"/>
      <c r="U73" s="40">
        <f t="shared" si="3"/>
        <v>0</v>
      </c>
    </row>
    <row r="74" spans="1:23" s="3" customFormat="1" ht="25.4" customHeight="1">
      <c r="A74" s="3" t="s">
        <v>584</v>
      </c>
      <c r="B74" s="3" t="s">
        <v>1007</v>
      </c>
      <c r="D74" s="26" t="s">
        <v>585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3">
        <f t="shared" si="2"/>
        <v>0</v>
      </c>
      <c r="R74" s="3">
        <v>199955.88</v>
      </c>
      <c r="S74" s="39">
        <f>Q74/Summary!$Q$16</f>
        <v>0</v>
      </c>
      <c r="T74" s="35"/>
      <c r="U74" s="40">
        <f t="shared" si="3"/>
        <v>0</v>
      </c>
    </row>
    <row r="75" spans="1:23" s="3" customFormat="1" ht="25.4" customHeight="1">
      <c r="A75" s="3" t="s">
        <v>586</v>
      </c>
      <c r="B75" s="3" t="s">
        <v>1007</v>
      </c>
      <c r="D75" s="26" t="s">
        <v>587</v>
      </c>
      <c r="E75" s="27"/>
      <c r="F75" s="27"/>
      <c r="G75" s="27"/>
      <c r="H75" s="27"/>
      <c r="I75" s="27"/>
      <c r="J75" s="27">
        <v>5000</v>
      </c>
      <c r="K75" s="27"/>
      <c r="L75" s="27"/>
      <c r="M75" s="27"/>
      <c r="N75" s="27"/>
      <c r="O75" s="27"/>
      <c r="P75" s="27"/>
      <c r="Q75" s="3">
        <f t="shared" si="2"/>
        <v>5000</v>
      </c>
      <c r="R75" s="3">
        <v>60789.32</v>
      </c>
      <c r="S75" s="39">
        <f>Q75/Summary!$Q$16</f>
        <v>6.2774452416944977E-5</v>
      </c>
      <c r="T75" s="35"/>
      <c r="U75" s="40" t="e">
        <f t="shared" si="3"/>
        <v>#DIV/0!</v>
      </c>
    </row>
    <row r="76" spans="1:23" s="3" customFormat="1" ht="25.4" customHeight="1">
      <c r="A76" s="3" t="s">
        <v>588</v>
      </c>
      <c r="B76" s="3" t="s">
        <v>1007</v>
      </c>
      <c r="D76" s="26" t="s">
        <v>589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">
        <v>0</v>
      </c>
      <c r="S76" s="39">
        <f>Q76/Summary!$Q$16</f>
        <v>0</v>
      </c>
      <c r="T76" s="35"/>
      <c r="U76" s="40">
        <f t="shared" si="3"/>
        <v>0</v>
      </c>
    </row>
    <row r="77" spans="1:23" s="3" customFormat="1" ht="25.4" customHeight="1">
      <c r="A77" s="3" t="s">
        <v>590</v>
      </c>
      <c r="B77" s="3" t="s">
        <v>1007</v>
      </c>
      <c r="D77" s="26" t="s">
        <v>591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>
        <f t="shared" si="2"/>
        <v>0</v>
      </c>
      <c r="R77" s="3">
        <v>0</v>
      </c>
      <c r="S77" s="39">
        <f>Q77/Summary!$Q$16</f>
        <v>0</v>
      </c>
      <c r="T77" s="35"/>
      <c r="U77" s="40">
        <f t="shared" si="3"/>
        <v>0</v>
      </c>
    </row>
    <row r="78" spans="1:23" s="3" customFormat="1" ht="25.4" hidden="1" customHeight="1">
      <c r="A78" s="253" t="s">
        <v>846</v>
      </c>
      <c r="B78" s="3" t="s">
        <v>1007</v>
      </c>
      <c r="D78" s="26" t="s">
        <v>847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>
        <f t="shared" si="2"/>
        <v>0</v>
      </c>
      <c r="R78" s="3">
        <v>0</v>
      </c>
      <c r="S78" s="39">
        <f>Q78/Summary!$Q$16</f>
        <v>0</v>
      </c>
      <c r="T78" s="35"/>
      <c r="U78" s="40">
        <f t="shared" si="3"/>
        <v>0</v>
      </c>
    </row>
    <row r="79" spans="1:23" s="3" customFormat="1" ht="25.4" hidden="1" customHeight="1">
      <c r="A79" s="3" t="s">
        <v>592</v>
      </c>
      <c r="B79" s="3" t="s">
        <v>1007</v>
      </c>
      <c r="D79" s="26" t="s">
        <v>593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>
        <v>2500</v>
      </c>
      <c r="Q79" s="3">
        <f t="shared" si="2"/>
        <v>2500</v>
      </c>
      <c r="R79" s="3">
        <v>0</v>
      </c>
      <c r="S79" s="39">
        <f>Q79/Summary!$Q$16</f>
        <v>3.1387226208472489E-5</v>
      </c>
      <c r="T79" s="35"/>
      <c r="U79" s="40" t="e">
        <f t="shared" si="3"/>
        <v>#DIV/0!</v>
      </c>
    </row>
    <row r="80" spans="1:23" s="3" customFormat="1" ht="25.4" hidden="1" customHeight="1">
      <c r="A80" s="3" t="s">
        <v>848</v>
      </c>
      <c r="B80" s="3" t="s">
        <v>1007</v>
      </c>
      <c r="D80" s="26" t="s">
        <v>849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143" si="5">SUM(E80:P80)</f>
        <v>0</v>
      </c>
      <c r="R80" s="3">
        <v>0</v>
      </c>
      <c r="S80" s="39">
        <f>Q80/Summary!$Q$16</f>
        <v>0</v>
      </c>
      <c r="T80" s="35"/>
      <c r="U80" s="40">
        <f t="shared" si="3"/>
        <v>0</v>
      </c>
    </row>
    <row r="81" spans="1:21" s="3" customFormat="1" ht="25.4" hidden="1" customHeight="1">
      <c r="A81" s="3" t="s">
        <v>850</v>
      </c>
      <c r="B81" s="3" t="s">
        <v>1007</v>
      </c>
      <c r="D81" s="26" t="s">
        <v>851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>
        <f t="shared" si="5"/>
        <v>0</v>
      </c>
      <c r="R81" s="3">
        <v>40393.06</v>
      </c>
      <c r="S81" s="39">
        <f>Q81/Summary!$Q$16</f>
        <v>0</v>
      </c>
      <c r="T81" s="35"/>
      <c r="U81" s="40">
        <f t="shared" si="3"/>
        <v>0</v>
      </c>
    </row>
    <row r="82" spans="1:21" s="3" customFormat="1" ht="25.4" hidden="1" customHeight="1">
      <c r="A82" s="3" t="s">
        <v>852</v>
      </c>
      <c r="B82" s="3" t="s">
        <v>1007</v>
      </c>
      <c r="D82" s="26" t="s">
        <v>853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5"/>
        <v>0</v>
      </c>
      <c r="R82" s="3">
        <v>0</v>
      </c>
      <c r="S82" s="39">
        <f>Q82/Summary!$Q$16</f>
        <v>0</v>
      </c>
      <c r="T82" s="35"/>
      <c r="U82" s="40">
        <f t="shared" si="3"/>
        <v>0</v>
      </c>
    </row>
    <row r="83" spans="1:21" s="3" customFormat="1" ht="25.4" hidden="1" customHeight="1">
      <c r="A83" s="3" t="s">
        <v>854</v>
      </c>
      <c r="B83" s="3" t="s">
        <v>1007</v>
      </c>
      <c r="D83" s="26" t="s">
        <v>855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3">
        <f t="shared" si="5"/>
        <v>0</v>
      </c>
      <c r="R83" s="3">
        <v>5000</v>
      </c>
      <c r="S83" s="39">
        <f>Q83/Summary!$Q$16</f>
        <v>0</v>
      </c>
      <c r="T83" s="35"/>
      <c r="U83" s="40">
        <f t="shared" si="3"/>
        <v>0</v>
      </c>
    </row>
    <row r="84" spans="1:21" s="3" customFormat="1" ht="25.4" hidden="1" customHeight="1">
      <c r="A84" s="3" t="s">
        <v>856</v>
      </c>
      <c r="B84" s="3" t="s">
        <v>1007</v>
      </c>
      <c r="D84" s="26" t="s">
        <v>857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3">
        <f t="shared" si="5"/>
        <v>0</v>
      </c>
      <c r="R84" s="3">
        <v>0</v>
      </c>
      <c r="S84" s="39">
        <f>Q84/Summary!$Q$16</f>
        <v>0</v>
      </c>
      <c r="T84" s="35"/>
      <c r="U84" s="40">
        <f t="shared" si="3"/>
        <v>0</v>
      </c>
    </row>
    <row r="85" spans="1:21" s="3" customFormat="1" ht="25.4" hidden="1" customHeight="1">
      <c r="A85" s="3" t="s">
        <v>858</v>
      </c>
      <c r="B85" s="3" t="s">
        <v>1007</v>
      </c>
      <c r="D85" s="26" t="s">
        <v>859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3">
        <f t="shared" si="5"/>
        <v>0</v>
      </c>
      <c r="R85" s="3">
        <v>0</v>
      </c>
      <c r="S85" s="39">
        <f>Q85/Summary!$Q$16</f>
        <v>0</v>
      </c>
      <c r="T85" s="35"/>
      <c r="U85" s="40">
        <f t="shared" si="3"/>
        <v>0</v>
      </c>
    </row>
    <row r="86" spans="1:21" s="3" customFormat="1" ht="25.4" hidden="1" customHeight="1">
      <c r="A86" s="3" t="s">
        <v>860</v>
      </c>
      <c r="B86" s="3" t="s">
        <v>1007</v>
      </c>
      <c r="D86" s="26" t="s">
        <v>861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>
        <f t="shared" si="5"/>
        <v>0</v>
      </c>
      <c r="R86" s="3">
        <v>-36.409999999999997</v>
      </c>
      <c r="S86" s="39">
        <f>Q86/Summary!$Q$16</f>
        <v>0</v>
      </c>
      <c r="T86" s="35"/>
      <c r="U86" s="40">
        <f t="shared" si="3"/>
        <v>0</v>
      </c>
    </row>
    <row r="87" spans="1:21" s="3" customFormat="1" ht="25.4" hidden="1" customHeight="1">
      <c r="A87" s="3" t="s">
        <v>862</v>
      </c>
      <c r="B87" s="3" t="s">
        <v>1007</v>
      </c>
      <c r="D87" s="26" t="s">
        <v>863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3">
        <f t="shared" si="5"/>
        <v>0</v>
      </c>
      <c r="R87" s="3">
        <v>301294.25</v>
      </c>
      <c r="S87" s="39">
        <f>Q87/Summary!$Q$16</f>
        <v>0</v>
      </c>
      <c r="T87" s="35"/>
      <c r="U87" s="40">
        <f t="shared" si="3"/>
        <v>0</v>
      </c>
    </row>
    <row r="88" spans="1:21" s="3" customFormat="1" ht="25.4" hidden="1" customHeight="1">
      <c r="A88" s="3" t="s">
        <v>864</v>
      </c>
      <c r="B88" s="3" t="s">
        <v>1007</v>
      </c>
      <c r="D88" s="26" t="s">
        <v>865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>
        <f t="shared" si="5"/>
        <v>0</v>
      </c>
      <c r="R88" s="3">
        <v>0</v>
      </c>
      <c r="S88" s="39">
        <f>Q88/Summary!$Q$16</f>
        <v>0</v>
      </c>
      <c r="T88" s="35"/>
      <c r="U88" s="40">
        <f t="shared" ref="U88:U151" si="6">-IF(Q88-T88=0,0,(Q88-T88)/T88)</f>
        <v>0</v>
      </c>
    </row>
    <row r="89" spans="1:21" s="3" customFormat="1" ht="25.4" hidden="1" customHeight="1">
      <c r="A89" s="3" t="s">
        <v>270</v>
      </c>
      <c r="B89" s="3" t="s">
        <v>1007</v>
      </c>
      <c r="D89" s="26" t="s">
        <v>594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>
        <f t="shared" si="5"/>
        <v>0</v>
      </c>
      <c r="R89" s="3">
        <v>0</v>
      </c>
      <c r="S89" s="39">
        <f>Q89/Summary!$Q$16</f>
        <v>0</v>
      </c>
      <c r="T89" s="35"/>
      <c r="U89" s="40">
        <f t="shared" si="6"/>
        <v>0</v>
      </c>
    </row>
    <row r="90" spans="1:21" s="3" customFormat="1" ht="25.4" hidden="1" customHeight="1">
      <c r="A90" s="3" t="s">
        <v>866</v>
      </c>
      <c r="B90" s="3" t="s">
        <v>1007</v>
      </c>
      <c r="D90" s="26" t="s">
        <v>867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3">
        <f t="shared" si="5"/>
        <v>0</v>
      </c>
      <c r="R90" s="3">
        <v>0</v>
      </c>
      <c r="S90" s="39">
        <f>Q90/Summary!$Q$16</f>
        <v>0</v>
      </c>
      <c r="T90" s="35"/>
      <c r="U90" s="40">
        <f t="shared" si="6"/>
        <v>0</v>
      </c>
    </row>
    <row r="91" spans="1:21" s="3" customFormat="1" ht="25.4" hidden="1" customHeight="1">
      <c r="A91" s="3" t="s">
        <v>272</v>
      </c>
      <c r="B91" s="3" t="s">
        <v>1007</v>
      </c>
      <c r="D91" s="26" t="s">
        <v>273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>
        <f t="shared" si="5"/>
        <v>0</v>
      </c>
      <c r="R91" s="3">
        <v>0</v>
      </c>
      <c r="S91" s="39">
        <f>Q91/Summary!$Q$16</f>
        <v>0</v>
      </c>
      <c r="T91" s="35"/>
      <c r="U91" s="40">
        <f t="shared" si="6"/>
        <v>0</v>
      </c>
    </row>
    <row r="92" spans="1:21" s="3" customFormat="1" ht="25.4" hidden="1" customHeight="1">
      <c r="A92" s="3" t="s">
        <v>868</v>
      </c>
      <c r="B92" s="3" t="s">
        <v>1007</v>
      </c>
      <c r="D92" s="26" t="s">
        <v>869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>
        <f t="shared" si="5"/>
        <v>0</v>
      </c>
      <c r="R92" s="3">
        <v>0</v>
      </c>
      <c r="S92" s="39">
        <f>Q92/Summary!$Q$16</f>
        <v>0</v>
      </c>
      <c r="T92" s="35"/>
      <c r="U92" s="40">
        <f t="shared" si="6"/>
        <v>0</v>
      </c>
    </row>
    <row r="93" spans="1:21" s="3" customFormat="1" ht="25.4" hidden="1" customHeight="1">
      <c r="A93" s="3" t="s">
        <v>870</v>
      </c>
      <c r="B93" s="3" t="s">
        <v>1007</v>
      </c>
      <c r="D93" s="26" t="s">
        <v>871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3">
        <f t="shared" si="5"/>
        <v>0</v>
      </c>
      <c r="R93" s="3">
        <v>1676.31</v>
      </c>
      <c r="S93" s="39">
        <f>Q93/Summary!$Q$16</f>
        <v>0</v>
      </c>
      <c r="T93" s="35"/>
      <c r="U93" s="40">
        <f t="shared" si="6"/>
        <v>0</v>
      </c>
    </row>
    <row r="94" spans="1:21" s="3" customFormat="1" ht="25.4" hidden="1" customHeight="1">
      <c r="A94" s="3" t="s">
        <v>872</v>
      </c>
      <c r="B94" s="3" t="s">
        <v>1007</v>
      </c>
      <c r="D94" s="26" t="s">
        <v>873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">
        <f t="shared" si="5"/>
        <v>0</v>
      </c>
      <c r="R94" s="3">
        <v>116291.22</v>
      </c>
      <c r="S94" s="39">
        <f>Q94/Summary!$Q$16</f>
        <v>0</v>
      </c>
      <c r="T94" s="35"/>
      <c r="U94" s="40">
        <f t="shared" si="6"/>
        <v>0</v>
      </c>
    </row>
    <row r="95" spans="1:21" s="3" customFormat="1" ht="25.4" hidden="1" customHeight="1">
      <c r="A95" s="3" t="s">
        <v>874</v>
      </c>
      <c r="B95" s="3" t="s">
        <v>1007</v>
      </c>
      <c r="D95" s="26" t="s">
        <v>875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si="5"/>
        <v>0</v>
      </c>
      <c r="R95" s="3">
        <v>0</v>
      </c>
      <c r="S95" s="39">
        <f>Q95/Summary!$Q$16</f>
        <v>0</v>
      </c>
      <c r="T95" s="35"/>
      <c r="U95" s="40">
        <f t="shared" si="6"/>
        <v>0</v>
      </c>
    </row>
    <row r="96" spans="1:21" s="3" customFormat="1" ht="25.4" hidden="1" customHeight="1">
      <c r="A96" s="3" t="s">
        <v>876</v>
      </c>
      <c r="B96" s="3" t="s">
        <v>1007</v>
      </c>
      <c r="D96" s="26" t="s">
        <v>877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5"/>
        <v>0</v>
      </c>
      <c r="R96" s="3">
        <v>42156.800000000003</v>
      </c>
      <c r="S96" s="39">
        <f>Q96/Summary!$Q$16</f>
        <v>0</v>
      </c>
      <c r="T96" s="35"/>
      <c r="U96" s="40">
        <f t="shared" si="6"/>
        <v>0</v>
      </c>
    </row>
    <row r="97" spans="1:21" s="3" customFormat="1" ht="25.4" hidden="1" customHeight="1">
      <c r="A97" s="3" t="s">
        <v>878</v>
      </c>
      <c r="B97" s="3" t="s">
        <v>1007</v>
      </c>
      <c r="D97" s="26" t="s">
        <v>879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5"/>
        <v>0</v>
      </c>
      <c r="R97" s="3">
        <v>1050</v>
      </c>
      <c r="S97" s="39">
        <f>Q97/Summary!$Q$16</f>
        <v>0</v>
      </c>
      <c r="T97" s="35"/>
      <c r="U97" s="40">
        <f t="shared" si="6"/>
        <v>0</v>
      </c>
    </row>
    <row r="98" spans="1:21" s="3" customFormat="1" ht="25.4" hidden="1" customHeight="1">
      <c r="A98" s="3" t="s">
        <v>880</v>
      </c>
      <c r="B98" s="3" t="s">
        <v>1007</v>
      </c>
      <c r="D98" s="26" t="s">
        <v>881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5"/>
        <v>0</v>
      </c>
      <c r="R98" s="3">
        <v>0</v>
      </c>
      <c r="S98" s="39">
        <f>Q98/Summary!$Q$16</f>
        <v>0</v>
      </c>
      <c r="T98" s="35"/>
      <c r="U98" s="40">
        <f t="shared" si="6"/>
        <v>0</v>
      </c>
    </row>
    <row r="99" spans="1:21" s="3" customFormat="1" ht="25.4" hidden="1" customHeight="1">
      <c r="A99" s="3" t="s">
        <v>882</v>
      </c>
      <c r="B99" s="3" t="s">
        <v>1007</v>
      </c>
      <c r="D99" s="26" t="s">
        <v>883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5"/>
        <v>0</v>
      </c>
      <c r="R99" s="3">
        <v>0</v>
      </c>
      <c r="S99" s="39">
        <f>Q99/Summary!$Q$16</f>
        <v>0</v>
      </c>
      <c r="T99" s="35"/>
      <c r="U99" s="40">
        <f t="shared" si="6"/>
        <v>0</v>
      </c>
    </row>
    <row r="100" spans="1:21" s="3" customFormat="1" ht="25.4" hidden="1" customHeight="1">
      <c r="A100" s="3" t="s">
        <v>884</v>
      </c>
      <c r="B100" s="3" t="s">
        <v>1007</v>
      </c>
      <c r="D100" s="26" t="s">
        <v>885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>
        <f t="shared" si="5"/>
        <v>0</v>
      </c>
      <c r="R100" s="3">
        <v>0</v>
      </c>
      <c r="S100" s="39">
        <f>Q100/Summary!$Q$16</f>
        <v>0</v>
      </c>
      <c r="T100" s="35"/>
      <c r="U100" s="40">
        <f t="shared" si="6"/>
        <v>0</v>
      </c>
    </row>
    <row r="101" spans="1:21" s="3" customFormat="1" ht="25.4" hidden="1" customHeight="1">
      <c r="A101" s="3" t="s">
        <v>886</v>
      </c>
      <c r="B101" s="3" t="s">
        <v>1007</v>
      </c>
      <c r="D101" s="26" t="s">
        <v>887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>
        <f t="shared" si="5"/>
        <v>0</v>
      </c>
      <c r="R101" s="3">
        <v>0</v>
      </c>
      <c r="S101" s="39">
        <f>Q101/Summary!$Q$16</f>
        <v>0</v>
      </c>
      <c r="T101" s="35"/>
      <c r="U101" s="40">
        <f t="shared" si="6"/>
        <v>0</v>
      </c>
    </row>
    <row r="102" spans="1:21" s="3" customFormat="1" ht="25.4" hidden="1" customHeight="1">
      <c r="A102" s="3" t="s">
        <v>888</v>
      </c>
      <c r="B102" s="3" t="s">
        <v>1007</v>
      </c>
      <c r="D102" s="26" t="s">
        <v>889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>
        <f t="shared" si="5"/>
        <v>0</v>
      </c>
      <c r="R102" s="3">
        <v>0</v>
      </c>
      <c r="S102" s="39">
        <f>Q102/Summary!$Q$16</f>
        <v>0</v>
      </c>
      <c r="T102" s="35"/>
      <c r="U102" s="40">
        <f t="shared" si="6"/>
        <v>0</v>
      </c>
    </row>
    <row r="103" spans="1:21" s="3" customFormat="1" ht="25.4" hidden="1" customHeight="1">
      <c r="A103" s="3" t="s">
        <v>890</v>
      </c>
      <c r="B103" s="3" t="s">
        <v>1007</v>
      </c>
      <c r="D103" s="26" t="s">
        <v>891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>
        <f t="shared" si="5"/>
        <v>0</v>
      </c>
      <c r="R103" s="3">
        <v>0</v>
      </c>
      <c r="S103" s="39">
        <f>Q103/Summary!$Q$16</f>
        <v>0</v>
      </c>
      <c r="T103" s="35"/>
      <c r="U103" s="40">
        <f t="shared" si="6"/>
        <v>0</v>
      </c>
    </row>
    <row r="104" spans="1:21" s="3" customFormat="1" ht="25.4" customHeight="1">
      <c r="A104" s="3" t="s">
        <v>892</v>
      </c>
      <c r="B104" s="3" t="s">
        <v>1007</v>
      </c>
      <c r="D104" s="26" t="s">
        <v>893</v>
      </c>
      <c r="E104" s="27">
        <v>200</v>
      </c>
      <c r="F104" s="27">
        <v>200</v>
      </c>
      <c r="G104" s="27">
        <v>200</v>
      </c>
      <c r="H104" s="27">
        <v>200</v>
      </c>
      <c r="I104" s="27">
        <v>200</v>
      </c>
      <c r="J104" s="27">
        <v>200</v>
      </c>
      <c r="K104" s="27">
        <v>200</v>
      </c>
      <c r="L104" s="27">
        <v>200</v>
      </c>
      <c r="M104" s="27">
        <v>200</v>
      </c>
      <c r="N104" s="27">
        <v>200</v>
      </c>
      <c r="O104" s="27">
        <v>200</v>
      </c>
      <c r="P104" s="27">
        <v>200</v>
      </c>
      <c r="Q104" s="3">
        <f t="shared" si="5"/>
        <v>2400</v>
      </c>
      <c r="R104" s="3">
        <v>0</v>
      </c>
      <c r="S104" s="39">
        <f>Q104/Summary!$Q$16</f>
        <v>3.0131737160133587E-5</v>
      </c>
      <c r="T104" s="35"/>
      <c r="U104" s="40" t="e">
        <f t="shared" si="6"/>
        <v>#DIV/0!</v>
      </c>
    </row>
    <row r="105" spans="1:21" s="3" customFormat="1" ht="25.4" hidden="1" customHeight="1">
      <c r="A105" s="3" t="s">
        <v>894</v>
      </c>
      <c r="B105" s="3" t="s">
        <v>1007</v>
      </c>
      <c r="D105" s="26" t="s">
        <v>895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si="5"/>
        <v>0</v>
      </c>
      <c r="R105" s="3">
        <v>0</v>
      </c>
      <c r="S105" s="39">
        <f>Q105/Summary!$Q$16</f>
        <v>0</v>
      </c>
      <c r="T105" s="35"/>
      <c r="U105" s="40">
        <f t="shared" si="6"/>
        <v>0</v>
      </c>
    </row>
    <row r="106" spans="1:21" s="3" customFormat="1" ht="25.4" hidden="1" customHeight="1">
      <c r="A106" s="3" t="s">
        <v>896</v>
      </c>
      <c r="B106" s="3" t="s">
        <v>1007</v>
      </c>
      <c r="D106" s="26" t="s">
        <v>897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5"/>
        <v>0</v>
      </c>
      <c r="R106" s="3">
        <v>0</v>
      </c>
      <c r="S106" s="39">
        <f>Q106/Summary!$Q$16</f>
        <v>0</v>
      </c>
      <c r="T106" s="35"/>
      <c r="U106" s="40">
        <f t="shared" si="6"/>
        <v>0</v>
      </c>
    </row>
    <row r="107" spans="1:21" s="3" customFormat="1" ht="25.4" hidden="1" customHeight="1">
      <c r="A107" s="3" t="s">
        <v>898</v>
      </c>
      <c r="B107" s="3" t="s">
        <v>1007</v>
      </c>
      <c r="D107" s="26" t="s">
        <v>899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5"/>
        <v>0</v>
      </c>
      <c r="R107" s="3">
        <v>0</v>
      </c>
      <c r="S107" s="39">
        <f>Q107/Summary!$Q$16</f>
        <v>0</v>
      </c>
      <c r="T107" s="35"/>
      <c r="U107" s="40">
        <f t="shared" si="6"/>
        <v>0</v>
      </c>
    </row>
    <row r="108" spans="1:21" s="3" customFormat="1" ht="25.4" hidden="1" customHeight="1">
      <c r="A108" s="3" t="s">
        <v>900</v>
      </c>
      <c r="B108" s="3" t="s">
        <v>1007</v>
      </c>
      <c r="D108" s="26" t="s">
        <v>901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5"/>
        <v>0</v>
      </c>
      <c r="R108" s="3">
        <v>0</v>
      </c>
      <c r="S108" s="39">
        <f>Q108/Summary!$Q$16</f>
        <v>0</v>
      </c>
      <c r="T108" s="35"/>
      <c r="U108" s="40">
        <f t="shared" si="6"/>
        <v>0</v>
      </c>
    </row>
    <row r="109" spans="1:21" s="3" customFormat="1" ht="25.4" hidden="1" customHeight="1">
      <c r="A109" s="3" t="s">
        <v>902</v>
      </c>
      <c r="B109" s="3" t="s">
        <v>1007</v>
      </c>
      <c r="D109" s="26" t="s">
        <v>903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5"/>
        <v>0</v>
      </c>
      <c r="R109" s="3">
        <v>0</v>
      </c>
      <c r="S109" s="39">
        <f>Q109/Summary!$Q$16</f>
        <v>0</v>
      </c>
      <c r="T109" s="35"/>
      <c r="U109" s="40">
        <f t="shared" si="6"/>
        <v>0</v>
      </c>
    </row>
    <row r="110" spans="1:21" s="3" customFormat="1" ht="25.4" hidden="1" customHeight="1">
      <c r="A110" s="3" t="s">
        <v>904</v>
      </c>
      <c r="B110" s="3" t="s">
        <v>1007</v>
      </c>
      <c r="D110" s="26" t="s">
        <v>905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5"/>
        <v>0</v>
      </c>
      <c r="R110" s="3">
        <v>0</v>
      </c>
      <c r="S110" s="39">
        <f>Q110/Summary!$Q$16</f>
        <v>0</v>
      </c>
      <c r="T110" s="35"/>
      <c r="U110" s="40">
        <f t="shared" si="6"/>
        <v>0</v>
      </c>
    </row>
    <row r="111" spans="1:21" s="3" customFormat="1" ht="25.4" hidden="1" customHeight="1">
      <c r="A111" s="3" t="s">
        <v>906</v>
      </c>
      <c r="B111" s="3" t="s">
        <v>1007</v>
      </c>
      <c r="D111" s="26" t="s">
        <v>907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5"/>
        <v>0</v>
      </c>
      <c r="R111" s="3">
        <v>0</v>
      </c>
      <c r="S111" s="39">
        <f>Q111/Summary!$Q$16</f>
        <v>0</v>
      </c>
      <c r="T111" s="35"/>
      <c r="U111" s="40">
        <f t="shared" si="6"/>
        <v>0</v>
      </c>
    </row>
    <row r="112" spans="1:21" s="3" customFormat="1" ht="25.4" hidden="1" customHeight="1">
      <c r="A112" s="3" t="s">
        <v>908</v>
      </c>
      <c r="B112" s="3" t="s">
        <v>1007</v>
      </c>
      <c r="D112" s="26" t="s">
        <v>909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 t="shared" si="5"/>
        <v>0</v>
      </c>
      <c r="R112" s="3">
        <v>0</v>
      </c>
      <c r="S112" s="39">
        <f>Q112/Summary!$Q$16</f>
        <v>0</v>
      </c>
      <c r="T112" s="35"/>
      <c r="U112" s="40">
        <f t="shared" si="6"/>
        <v>0</v>
      </c>
    </row>
    <row r="113" spans="1:21" s="3" customFormat="1" ht="25.4" hidden="1" customHeight="1">
      <c r="A113" s="3" t="s">
        <v>910</v>
      </c>
      <c r="B113" s="3" t="s">
        <v>1007</v>
      </c>
      <c r="D113" s="26" t="s">
        <v>911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si="5"/>
        <v>0</v>
      </c>
      <c r="R113" s="3">
        <v>0</v>
      </c>
      <c r="S113" s="39">
        <f>Q113/Summary!$Q$16</f>
        <v>0</v>
      </c>
      <c r="T113" s="35"/>
      <c r="U113" s="40">
        <f t="shared" si="6"/>
        <v>0</v>
      </c>
    </row>
    <row r="114" spans="1:21" s="3" customFormat="1" ht="25.4" hidden="1" customHeight="1">
      <c r="A114" s="3" t="s">
        <v>912</v>
      </c>
      <c r="B114" s="3" t="s">
        <v>1007</v>
      </c>
      <c r="D114" s="26" t="s">
        <v>913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5"/>
        <v>0</v>
      </c>
      <c r="R114" s="3">
        <v>0</v>
      </c>
      <c r="S114" s="39">
        <f>Q114/Summary!$Q$16</f>
        <v>0</v>
      </c>
      <c r="T114" s="35"/>
      <c r="U114" s="40">
        <f t="shared" si="6"/>
        <v>0</v>
      </c>
    </row>
    <row r="115" spans="1:21" s="3" customFormat="1" ht="25.4" hidden="1" customHeight="1">
      <c r="A115" s="3" t="s">
        <v>914</v>
      </c>
      <c r="B115" s="3" t="s">
        <v>1007</v>
      </c>
      <c r="D115" s="26" t="s">
        <v>915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5"/>
        <v>0</v>
      </c>
      <c r="R115" s="3">
        <v>0</v>
      </c>
      <c r="S115" s="39">
        <f>Q115/Summary!$Q$16</f>
        <v>0</v>
      </c>
      <c r="T115" s="35"/>
      <c r="U115" s="40">
        <f t="shared" si="6"/>
        <v>0</v>
      </c>
    </row>
    <row r="116" spans="1:21" s="3" customFormat="1" ht="25.4" hidden="1" customHeight="1">
      <c r="A116" s="3" t="s">
        <v>916</v>
      </c>
      <c r="B116" s="3" t="s">
        <v>1007</v>
      </c>
      <c r="D116" s="26" t="s">
        <v>917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5"/>
        <v>0</v>
      </c>
      <c r="R116" s="3">
        <v>0</v>
      </c>
      <c r="S116" s="39">
        <f>Q116/Summary!$Q$16</f>
        <v>0</v>
      </c>
      <c r="T116" s="35"/>
      <c r="U116" s="40">
        <f t="shared" si="6"/>
        <v>0</v>
      </c>
    </row>
    <row r="117" spans="1:21" s="3" customFormat="1" ht="25.4" hidden="1" customHeight="1">
      <c r="A117" s="3" t="s">
        <v>918</v>
      </c>
      <c r="B117" s="3" t="s">
        <v>1007</v>
      </c>
      <c r="D117" s="26" t="s">
        <v>919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5"/>
        <v>0</v>
      </c>
      <c r="R117" s="3">
        <v>0</v>
      </c>
      <c r="S117" s="39">
        <f>Q117/Summary!$Q$16</f>
        <v>0</v>
      </c>
      <c r="T117" s="35"/>
      <c r="U117" s="40">
        <f t="shared" si="6"/>
        <v>0</v>
      </c>
    </row>
    <row r="118" spans="1:21" s="3" customFormat="1" ht="25.4" hidden="1" customHeight="1">
      <c r="A118" s="3" t="s">
        <v>920</v>
      </c>
      <c r="B118" s="3" t="s">
        <v>1007</v>
      </c>
      <c r="D118" s="26" t="s">
        <v>921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5"/>
        <v>0</v>
      </c>
      <c r="R118" s="3">
        <v>0</v>
      </c>
      <c r="S118" s="39">
        <f>Q118/Summary!$Q$16</f>
        <v>0</v>
      </c>
      <c r="T118" s="35"/>
      <c r="U118" s="40">
        <f t="shared" si="6"/>
        <v>0</v>
      </c>
    </row>
    <row r="119" spans="1:21" s="3" customFormat="1" ht="25.4" hidden="1" customHeight="1">
      <c r="A119" s="3" t="s">
        <v>922</v>
      </c>
      <c r="B119" s="3" t="s">
        <v>1007</v>
      </c>
      <c r="D119" s="26" t="s">
        <v>923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5"/>
        <v>0</v>
      </c>
      <c r="R119" s="3">
        <v>0</v>
      </c>
      <c r="S119" s="39">
        <f>Q119/Summary!$Q$16</f>
        <v>0</v>
      </c>
      <c r="T119" s="35"/>
      <c r="U119" s="40">
        <f t="shared" si="6"/>
        <v>0</v>
      </c>
    </row>
    <row r="120" spans="1:21" s="3" customFormat="1" ht="25.4" hidden="1" customHeight="1">
      <c r="A120" s="3" t="s">
        <v>924</v>
      </c>
      <c r="B120" s="3" t="s">
        <v>1007</v>
      </c>
      <c r="D120" s="26" t="s">
        <v>925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5"/>
        <v>0</v>
      </c>
      <c r="R120" s="3">
        <v>0</v>
      </c>
      <c r="S120" s="39">
        <f>Q120/Summary!$Q$16</f>
        <v>0</v>
      </c>
      <c r="T120" s="35"/>
      <c r="U120" s="40">
        <f t="shared" si="6"/>
        <v>0</v>
      </c>
    </row>
    <row r="121" spans="1:21" s="3" customFormat="1" ht="25.4" hidden="1" customHeight="1">
      <c r="A121" s="3" t="s">
        <v>926</v>
      </c>
      <c r="B121" s="3" t="s">
        <v>1007</v>
      </c>
      <c r="D121" s="26" t="s">
        <v>927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5"/>
        <v>0</v>
      </c>
      <c r="R121" s="3">
        <v>0</v>
      </c>
      <c r="S121" s="39">
        <f>Q121/Summary!$Q$16</f>
        <v>0</v>
      </c>
      <c r="T121" s="35"/>
      <c r="U121" s="40">
        <f t="shared" si="6"/>
        <v>0</v>
      </c>
    </row>
    <row r="122" spans="1:21" s="3" customFormat="1" ht="25.4" hidden="1" customHeight="1">
      <c r="A122" s="3" t="s">
        <v>928</v>
      </c>
      <c r="B122" s="3" t="s">
        <v>1007</v>
      </c>
      <c r="D122" s="26" t="s">
        <v>929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3">
        <f t="shared" si="5"/>
        <v>0</v>
      </c>
      <c r="R122" s="3">
        <v>0</v>
      </c>
      <c r="S122" s="39">
        <f>Q122/Summary!$Q$16</f>
        <v>0</v>
      </c>
      <c r="T122" s="35"/>
      <c r="U122" s="40">
        <f t="shared" si="6"/>
        <v>0</v>
      </c>
    </row>
    <row r="123" spans="1:21" s="3" customFormat="1" ht="25.4" hidden="1" customHeight="1">
      <c r="A123" s="3" t="s">
        <v>930</v>
      </c>
      <c r="B123" s="3" t="s">
        <v>1007</v>
      </c>
      <c r="D123" s="26" t="s">
        <v>931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3">
        <f t="shared" si="5"/>
        <v>0</v>
      </c>
      <c r="R123" s="3">
        <v>0</v>
      </c>
      <c r="S123" s="39">
        <f>Q123/Summary!$Q$16</f>
        <v>0</v>
      </c>
      <c r="T123" s="35"/>
      <c r="U123" s="40">
        <f t="shared" si="6"/>
        <v>0</v>
      </c>
    </row>
    <row r="124" spans="1:21" s="3" customFormat="1" ht="25.4" hidden="1" customHeight="1">
      <c r="A124" s="3" t="s">
        <v>932</v>
      </c>
      <c r="B124" s="3" t="s">
        <v>1007</v>
      </c>
      <c r="D124" s="26" t="s">
        <v>933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3">
        <f t="shared" si="5"/>
        <v>0</v>
      </c>
      <c r="R124" s="3">
        <v>0</v>
      </c>
      <c r="S124" s="39">
        <f>Q124/Summary!$Q$16</f>
        <v>0</v>
      </c>
      <c r="T124" s="35"/>
      <c r="U124" s="40">
        <f t="shared" si="6"/>
        <v>0</v>
      </c>
    </row>
    <row r="125" spans="1:21" s="3" customFormat="1" ht="25.4" hidden="1" customHeight="1">
      <c r="A125" s="3" t="s">
        <v>934</v>
      </c>
      <c r="B125" s="3" t="s">
        <v>1007</v>
      </c>
      <c r="D125" s="26" t="s">
        <v>935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3">
        <f t="shared" si="5"/>
        <v>0</v>
      </c>
      <c r="R125" s="3">
        <v>0</v>
      </c>
      <c r="S125" s="39">
        <f>Q125/Summary!$Q$16</f>
        <v>0</v>
      </c>
      <c r="T125" s="35"/>
      <c r="U125" s="40">
        <f t="shared" si="6"/>
        <v>0</v>
      </c>
    </row>
    <row r="126" spans="1:21" s="3" customFormat="1" ht="25.4" hidden="1" customHeight="1">
      <c r="A126" s="3" t="s">
        <v>936</v>
      </c>
      <c r="B126" s="3" t="s">
        <v>1007</v>
      </c>
      <c r="D126" s="26" t="s">
        <v>937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3">
        <f t="shared" si="5"/>
        <v>0</v>
      </c>
      <c r="R126" s="3">
        <v>0</v>
      </c>
      <c r="S126" s="39">
        <f>Q126/Summary!$Q$16</f>
        <v>0</v>
      </c>
      <c r="T126" s="35"/>
      <c r="U126" s="40">
        <f t="shared" si="6"/>
        <v>0</v>
      </c>
    </row>
    <row r="127" spans="1:21" s="3" customFormat="1" ht="25.4" hidden="1" customHeight="1">
      <c r="A127" s="3" t="s">
        <v>938</v>
      </c>
      <c r="B127" s="3" t="s">
        <v>1007</v>
      </c>
      <c r="D127" s="26" t="s">
        <v>939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3">
        <f t="shared" si="5"/>
        <v>0</v>
      </c>
      <c r="R127" s="3">
        <v>0</v>
      </c>
      <c r="S127" s="39">
        <f>Q127/Summary!$Q$16</f>
        <v>0</v>
      </c>
      <c r="T127" s="35"/>
      <c r="U127" s="40">
        <f t="shared" si="6"/>
        <v>0</v>
      </c>
    </row>
    <row r="128" spans="1:21" s="3" customFormat="1" ht="25.4" hidden="1" customHeight="1">
      <c r="A128" s="3" t="s">
        <v>940</v>
      </c>
      <c r="B128" s="3" t="s">
        <v>1007</v>
      </c>
      <c r="D128" s="26" t="s">
        <v>941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3">
        <f t="shared" si="5"/>
        <v>0</v>
      </c>
      <c r="R128" s="3">
        <v>0</v>
      </c>
      <c r="S128" s="39">
        <f>Q128/Summary!$Q$16</f>
        <v>0</v>
      </c>
      <c r="T128" s="35"/>
      <c r="U128" s="40">
        <f t="shared" si="6"/>
        <v>0</v>
      </c>
    </row>
    <row r="129" spans="1:21" s="3" customFormat="1" ht="25.4" hidden="1" customHeight="1">
      <c r="A129" s="3" t="s">
        <v>942</v>
      </c>
      <c r="B129" s="3" t="s">
        <v>1007</v>
      </c>
      <c r="D129" s="26" t="s">
        <v>943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3">
        <f t="shared" si="5"/>
        <v>0</v>
      </c>
      <c r="R129" s="3">
        <v>0</v>
      </c>
      <c r="S129" s="39">
        <f>Q129/Summary!$Q$16</f>
        <v>0</v>
      </c>
      <c r="T129" s="35"/>
      <c r="U129" s="40">
        <f t="shared" si="6"/>
        <v>0</v>
      </c>
    </row>
    <row r="130" spans="1:21" s="3" customFormat="1" ht="25.4" hidden="1" customHeight="1">
      <c r="A130" s="3" t="s">
        <v>944</v>
      </c>
      <c r="B130" s="3" t="s">
        <v>1007</v>
      </c>
      <c r="D130" s="26" t="s">
        <v>945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3">
        <f t="shared" si="5"/>
        <v>0</v>
      </c>
      <c r="R130" s="3">
        <v>0</v>
      </c>
      <c r="S130" s="39">
        <f>Q130/Summary!$Q$16</f>
        <v>0</v>
      </c>
      <c r="T130" s="35"/>
      <c r="U130" s="40">
        <f t="shared" si="6"/>
        <v>0</v>
      </c>
    </row>
    <row r="131" spans="1:21" s="3" customFormat="1" ht="25.4" hidden="1" customHeight="1">
      <c r="A131" s="3" t="s">
        <v>946</v>
      </c>
      <c r="B131" s="3" t="s">
        <v>1007</v>
      </c>
      <c r="D131" s="26" t="s">
        <v>947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3">
        <f t="shared" si="5"/>
        <v>0</v>
      </c>
      <c r="R131" s="3">
        <v>0</v>
      </c>
      <c r="S131" s="39">
        <f>Q131/Summary!$Q$16</f>
        <v>0</v>
      </c>
      <c r="T131" s="35"/>
      <c r="U131" s="40">
        <f t="shared" si="6"/>
        <v>0</v>
      </c>
    </row>
    <row r="132" spans="1:21" s="3" customFormat="1" ht="25.4" hidden="1" customHeight="1">
      <c r="A132" s="3" t="s">
        <v>948</v>
      </c>
      <c r="B132" s="3" t="s">
        <v>1007</v>
      </c>
      <c r="D132" s="26" t="s">
        <v>949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3">
        <f t="shared" si="5"/>
        <v>0</v>
      </c>
      <c r="R132" s="3">
        <v>0</v>
      </c>
      <c r="S132" s="39">
        <f>Q132/Summary!$Q$16</f>
        <v>0</v>
      </c>
      <c r="T132" s="35"/>
      <c r="U132" s="40">
        <f t="shared" si="6"/>
        <v>0</v>
      </c>
    </row>
    <row r="133" spans="1:21" s="3" customFormat="1" ht="24.75" hidden="1" customHeight="1">
      <c r="A133" s="3" t="s">
        <v>950</v>
      </c>
      <c r="B133" s="3" t="s">
        <v>1007</v>
      </c>
      <c r="D133" s="26" t="s">
        <v>951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3">
        <f t="shared" si="5"/>
        <v>0</v>
      </c>
      <c r="R133" s="3">
        <v>0</v>
      </c>
      <c r="S133" s="39">
        <f>Q133/Summary!$Q$16</f>
        <v>0</v>
      </c>
      <c r="T133" s="35"/>
      <c r="U133" s="40">
        <f t="shared" si="6"/>
        <v>0</v>
      </c>
    </row>
    <row r="134" spans="1:21" s="3" customFormat="1" ht="25.4" hidden="1" customHeight="1">
      <c r="A134" s="3" t="s">
        <v>952</v>
      </c>
      <c r="B134" s="3" t="s">
        <v>1007</v>
      </c>
      <c r="D134" s="26" t="s">
        <v>953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3">
        <f t="shared" si="5"/>
        <v>0</v>
      </c>
      <c r="R134" s="3">
        <v>0</v>
      </c>
      <c r="S134" s="39">
        <f>Q134/Summary!$Q$16</f>
        <v>0</v>
      </c>
      <c r="T134" s="35"/>
      <c r="U134" s="40">
        <f t="shared" si="6"/>
        <v>0</v>
      </c>
    </row>
    <row r="135" spans="1:21" s="3" customFormat="1" ht="25.4" hidden="1" customHeight="1">
      <c r="A135" s="3" t="s">
        <v>954</v>
      </c>
      <c r="B135" s="3" t="s">
        <v>1007</v>
      </c>
      <c r="D135" s="26" t="s">
        <v>955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3">
        <f t="shared" si="5"/>
        <v>0</v>
      </c>
      <c r="R135" s="3">
        <v>0</v>
      </c>
      <c r="S135" s="39">
        <f>Q135/Summary!$Q$16</f>
        <v>0</v>
      </c>
      <c r="T135" s="35"/>
      <c r="U135" s="40">
        <f t="shared" si="6"/>
        <v>0</v>
      </c>
    </row>
    <row r="136" spans="1:21" s="3" customFormat="1" ht="25.4" hidden="1" customHeight="1">
      <c r="A136" s="3" t="s">
        <v>956</v>
      </c>
      <c r="B136" s="3" t="s">
        <v>1007</v>
      </c>
      <c r="D136" s="26" t="s">
        <v>957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3">
        <f t="shared" si="5"/>
        <v>0</v>
      </c>
      <c r="R136" s="3">
        <v>0</v>
      </c>
      <c r="S136" s="39">
        <f>Q136/Summary!$Q$16</f>
        <v>0</v>
      </c>
      <c r="T136" s="35"/>
      <c r="U136" s="40">
        <f t="shared" si="6"/>
        <v>0</v>
      </c>
    </row>
    <row r="137" spans="1:21" s="3" customFormat="1" ht="25.4" hidden="1" customHeight="1">
      <c r="A137" s="3" t="s">
        <v>958</v>
      </c>
      <c r="B137" s="3" t="s">
        <v>1007</v>
      </c>
      <c r="D137" s="26" t="s">
        <v>959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3">
        <f t="shared" si="5"/>
        <v>0</v>
      </c>
      <c r="R137" s="3">
        <v>0</v>
      </c>
      <c r="S137" s="39">
        <f>Q137/Summary!$Q$16</f>
        <v>0</v>
      </c>
      <c r="T137" s="35"/>
      <c r="U137" s="40">
        <f t="shared" si="6"/>
        <v>0</v>
      </c>
    </row>
    <row r="138" spans="1:21" s="3" customFormat="1" ht="25.4" hidden="1" customHeight="1">
      <c r="A138" s="3" t="s">
        <v>960</v>
      </c>
      <c r="B138" s="3" t="s">
        <v>1007</v>
      </c>
      <c r="D138" s="26" t="s">
        <v>961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3">
        <f t="shared" si="5"/>
        <v>0</v>
      </c>
      <c r="R138" s="3">
        <v>0</v>
      </c>
      <c r="S138" s="39">
        <f>Q138/Summary!$Q$16</f>
        <v>0</v>
      </c>
      <c r="T138" s="35"/>
      <c r="U138" s="40">
        <f t="shared" si="6"/>
        <v>0</v>
      </c>
    </row>
    <row r="139" spans="1:21" s="3" customFormat="1" ht="25.4" hidden="1" customHeight="1">
      <c r="A139" s="3" t="s">
        <v>962</v>
      </c>
      <c r="B139" s="3" t="s">
        <v>1007</v>
      </c>
      <c r="D139" s="26" t="s">
        <v>963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3">
        <f t="shared" si="5"/>
        <v>0</v>
      </c>
      <c r="R139" s="3">
        <v>0</v>
      </c>
      <c r="S139" s="39">
        <f>Q139/Summary!$Q$16</f>
        <v>0</v>
      </c>
      <c r="T139" s="35"/>
      <c r="U139" s="40">
        <f t="shared" si="6"/>
        <v>0</v>
      </c>
    </row>
    <row r="140" spans="1:21" s="3" customFormat="1" ht="25.4" hidden="1" customHeight="1">
      <c r="A140" s="3" t="s">
        <v>964</v>
      </c>
      <c r="B140" s="3" t="s">
        <v>1007</v>
      </c>
      <c r="D140" s="26" t="s">
        <v>965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3">
        <f t="shared" si="5"/>
        <v>0</v>
      </c>
      <c r="R140" s="3">
        <v>0</v>
      </c>
      <c r="S140" s="39">
        <f>Q140/Summary!$Q$16</f>
        <v>0</v>
      </c>
      <c r="T140" s="35"/>
      <c r="U140" s="40">
        <f t="shared" si="6"/>
        <v>0</v>
      </c>
    </row>
    <row r="141" spans="1:21" s="3" customFormat="1" ht="25.4" hidden="1" customHeight="1">
      <c r="A141" s="3" t="s">
        <v>966</v>
      </c>
      <c r="B141" s="3" t="s">
        <v>1007</v>
      </c>
      <c r="D141" s="26" t="s">
        <v>967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3">
        <f t="shared" si="5"/>
        <v>0</v>
      </c>
      <c r="R141" s="3">
        <v>0</v>
      </c>
      <c r="S141" s="39">
        <f>Q141/Summary!$Q$16</f>
        <v>0</v>
      </c>
      <c r="T141" s="35"/>
      <c r="U141" s="40">
        <f t="shared" si="6"/>
        <v>0</v>
      </c>
    </row>
    <row r="142" spans="1:21" s="3" customFormat="1" ht="25.4" hidden="1" customHeight="1">
      <c r="A142" s="3" t="s">
        <v>968</v>
      </c>
      <c r="B142" s="3" t="s">
        <v>1007</v>
      </c>
      <c r="D142" s="26" t="s">
        <v>969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3">
        <f t="shared" si="5"/>
        <v>0</v>
      </c>
      <c r="R142" s="3">
        <v>0</v>
      </c>
      <c r="S142" s="39">
        <f>Q142/Summary!$Q$16</f>
        <v>0</v>
      </c>
      <c r="T142" s="35"/>
      <c r="U142" s="40">
        <f t="shared" si="6"/>
        <v>0</v>
      </c>
    </row>
    <row r="143" spans="1:21" s="3" customFormat="1" ht="25.4" hidden="1" customHeight="1">
      <c r="A143" s="3" t="s">
        <v>970</v>
      </c>
      <c r="B143" s="3" t="s">
        <v>1007</v>
      </c>
      <c r="D143" s="26" t="s">
        <v>971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3">
        <f t="shared" si="5"/>
        <v>0</v>
      </c>
      <c r="R143" s="3">
        <v>0</v>
      </c>
      <c r="S143" s="39">
        <f>Q143/Summary!$Q$16</f>
        <v>0</v>
      </c>
      <c r="T143" s="35"/>
      <c r="U143" s="40">
        <f t="shared" si="6"/>
        <v>0</v>
      </c>
    </row>
    <row r="144" spans="1:21" s="3" customFormat="1" ht="25.4" hidden="1" customHeight="1">
      <c r="A144" s="3" t="s">
        <v>972</v>
      </c>
      <c r="B144" s="3" t="s">
        <v>1007</v>
      </c>
      <c r="D144" s="26" t="s">
        <v>973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3">
        <f t="shared" ref="Q144:Q157" si="7">SUM(E144:P144)</f>
        <v>0</v>
      </c>
      <c r="R144" s="3">
        <v>0</v>
      </c>
      <c r="S144" s="39">
        <f>Q144/Summary!$Q$16</f>
        <v>0</v>
      </c>
      <c r="T144" s="35"/>
      <c r="U144" s="40">
        <f t="shared" si="6"/>
        <v>0</v>
      </c>
    </row>
    <row r="145" spans="1:21" s="3" customFormat="1" ht="25.4" hidden="1" customHeight="1">
      <c r="A145" s="3" t="s">
        <v>974</v>
      </c>
      <c r="B145" s="3" t="s">
        <v>1007</v>
      </c>
      <c r="D145" s="26" t="s">
        <v>975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3">
        <f t="shared" si="7"/>
        <v>0</v>
      </c>
      <c r="R145" s="3">
        <v>0</v>
      </c>
      <c r="S145" s="39">
        <f>Q145/Summary!$Q$16</f>
        <v>0</v>
      </c>
      <c r="T145" s="35"/>
      <c r="U145" s="40">
        <f t="shared" si="6"/>
        <v>0</v>
      </c>
    </row>
    <row r="146" spans="1:21" s="3" customFormat="1" ht="25.4" hidden="1" customHeight="1">
      <c r="A146" s="3" t="s">
        <v>976</v>
      </c>
      <c r="B146" s="3" t="s">
        <v>1007</v>
      </c>
      <c r="D146" s="26" t="s">
        <v>977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3">
        <f t="shared" si="7"/>
        <v>0</v>
      </c>
      <c r="R146" s="3">
        <v>0</v>
      </c>
      <c r="S146" s="39">
        <f>Q146/Summary!$Q$16</f>
        <v>0</v>
      </c>
      <c r="T146" s="35"/>
      <c r="U146" s="40">
        <f t="shared" si="6"/>
        <v>0</v>
      </c>
    </row>
    <row r="147" spans="1:21" s="3" customFormat="1" ht="25.4" hidden="1" customHeight="1">
      <c r="A147" s="3" t="s">
        <v>978</v>
      </c>
      <c r="B147" s="3" t="s">
        <v>1007</v>
      </c>
      <c r="D147" s="26" t="s">
        <v>979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3">
        <f t="shared" si="7"/>
        <v>0</v>
      </c>
      <c r="R147" s="3">
        <v>0</v>
      </c>
      <c r="S147" s="39">
        <f>Q147/Summary!$Q$16</f>
        <v>0</v>
      </c>
      <c r="T147" s="35"/>
      <c r="U147" s="40">
        <f t="shared" si="6"/>
        <v>0</v>
      </c>
    </row>
    <row r="148" spans="1:21" s="3" customFormat="1" ht="25.4" hidden="1" customHeight="1">
      <c r="A148" s="3" t="s">
        <v>980</v>
      </c>
      <c r="B148" s="3" t="s">
        <v>1007</v>
      </c>
      <c r="D148" s="26" t="s">
        <v>981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3">
        <f t="shared" si="7"/>
        <v>0</v>
      </c>
      <c r="R148" s="3">
        <v>0</v>
      </c>
      <c r="S148" s="39">
        <f>Q148/Summary!$Q$16</f>
        <v>0</v>
      </c>
      <c r="T148" s="35"/>
      <c r="U148" s="40">
        <f t="shared" si="6"/>
        <v>0</v>
      </c>
    </row>
    <row r="149" spans="1:21" s="3" customFormat="1" ht="25.4" hidden="1" customHeight="1">
      <c r="A149" s="3" t="s">
        <v>982</v>
      </c>
      <c r="B149" s="3" t="s">
        <v>1007</v>
      </c>
      <c r="D149" s="26" t="s">
        <v>983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3">
        <f t="shared" si="7"/>
        <v>0</v>
      </c>
      <c r="R149" s="3">
        <v>0</v>
      </c>
      <c r="S149" s="39">
        <f>Q149/Summary!$Q$16</f>
        <v>0</v>
      </c>
      <c r="T149" s="35"/>
      <c r="U149" s="40">
        <f t="shared" si="6"/>
        <v>0</v>
      </c>
    </row>
    <row r="150" spans="1:21" s="3" customFormat="1" ht="25.4" hidden="1" customHeight="1">
      <c r="A150" s="3" t="s">
        <v>984</v>
      </c>
      <c r="B150" s="3" t="s">
        <v>1007</v>
      </c>
      <c r="D150" s="26" t="s">
        <v>985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3">
        <f t="shared" si="7"/>
        <v>0</v>
      </c>
      <c r="R150" s="3">
        <v>0</v>
      </c>
      <c r="S150" s="39">
        <f>Q150/Summary!$Q$16</f>
        <v>0</v>
      </c>
      <c r="T150" s="35"/>
      <c r="U150" s="40">
        <f t="shared" si="6"/>
        <v>0</v>
      </c>
    </row>
    <row r="151" spans="1:21" s="3" customFormat="1" ht="25.4" hidden="1" customHeight="1">
      <c r="A151" s="3" t="s">
        <v>986</v>
      </c>
      <c r="B151" s="3" t="s">
        <v>1007</v>
      </c>
      <c r="D151" s="26" t="s">
        <v>987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3">
        <f t="shared" si="7"/>
        <v>0</v>
      </c>
      <c r="R151" s="3">
        <v>0</v>
      </c>
      <c r="S151" s="39">
        <f>Q151/Summary!$Q$16</f>
        <v>0</v>
      </c>
      <c r="T151" s="35"/>
      <c r="U151" s="40">
        <f t="shared" si="6"/>
        <v>0</v>
      </c>
    </row>
    <row r="152" spans="1:21" s="3" customFormat="1" ht="25.4" hidden="1" customHeight="1">
      <c r="A152" s="3" t="s">
        <v>988</v>
      </c>
      <c r="B152" s="3" t="s">
        <v>1007</v>
      </c>
      <c r="D152" s="26" t="s">
        <v>989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3">
        <f t="shared" si="7"/>
        <v>0</v>
      </c>
      <c r="R152" s="3">
        <v>0</v>
      </c>
      <c r="S152" s="39">
        <f>Q152/Summary!$Q$16</f>
        <v>0</v>
      </c>
      <c r="T152" s="35"/>
      <c r="U152" s="40">
        <f t="shared" ref="U152:U159" si="8">-IF(Q152-T152=0,0,(Q152-T152)/T152)</f>
        <v>0</v>
      </c>
    </row>
    <row r="153" spans="1:21" s="3" customFormat="1" ht="25.4" hidden="1" customHeight="1">
      <c r="A153" s="3" t="s">
        <v>990</v>
      </c>
      <c r="B153" s="3" t="s">
        <v>1007</v>
      </c>
      <c r="D153" s="26" t="s">
        <v>991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3">
        <f t="shared" si="7"/>
        <v>0</v>
      </c>
      <c r="R153" s="3">
        <v>0</v>
      </c>
      <c r="S153" s="39">
        <f>Q153/Summary!$Q$16</f>
        <v>0</v>
      </c>
      <c r="T153" s="35"/>
      <c r="U153" s="40">
        <f t="shared" si="8"/>
        <v>0</v>
      </c>
    </row>
    <row r="154" spans="1:21" s="3" customFormat="1" ht="25.4" hidden="1" customHeight="1">
      <c r="A154" s="3" t="s">
        <v>992</v>
      </c>
      <c r="B154" s="3" t="s">
        <v>1007</v>
      </c>
      <c r="D154" s="26" t="s">
        <v>993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3">
        <f t="shared" si="7"/>
        <v>0</v>
      </c>
      <c r="R154" s="3">
        <v>6523.07</v>
      </c>
      <c r="S154" s="39">
        <f>Q154/Summary!$Q$16</f>
        <v>0</v>
      </c>
      <c r="T154" s="35"/>
      <c r="U154" s="40">
        <f t="shared" si="8"/>
        <v>0</v>
      </c>
    </row>
    <row r="155" spans="1:21" s="3" customFormat="1" ht="25.4" hidden="1" customHeight="1">
      <c r="A155" s="3" t="s">
        <v>994</v>
      </c>
      <c r="B155" s="3" t="s">
        <v>1007</v>
      </c>
      <c r="D155" s="26" t="s">
        <v>995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3">
        <f t="shared" si="7"/>
        <v>0</v>
      </c>
      <c r="R155" s="3">
        <v>502015.48</v>
      </c>
      <c r="S155" s="39">
        <f>Q155/Summary!$Q$16</f>
        <v>0</v>
      </c>
      <c r="T155" s="35"/>
      <c r="U155" s="40">
        <f t="shared" si="8"/>
        <v>0</v>
      </c>
    </row>
    <row r="156" spans="1:21" s="3" customFormat="1" ht="25.4" hidden="1" customHeight="1">
      <c r="A156" s="3" t="s">
        <v>996</v>
      </c>
      <c r="B156" s="3" t="s">
        <v>1007</v>
      </c>
      <c r="D156" s="26" t="s">
        <v>997</v>
      </c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3">
        <f t="shared" si="7"/>
        <v>0</v>
      </c>
      <c r="R156" s="3">
        <v>115506.84</v>
      </c>
      <c r="S156" s="39">
        <f>Q156/Summary!$Q$16</f>
        <v>0</v>
      </c>
      <c r="T156" s="35"/>
      <c r="U156" s="40">
        <f t="shared" si="8"/>
        <v>0</v>
      </c>
    </row>
    <row r="157" spans="1:21" s="3" customFormat="1" ht="25.4" customHeight="1">
      <c r="A157" s="3" t="s">
        <v>595</v>
      </c>
      <c r="B157" s="3" t="s">
        <v>1007</v>
      </c>
      <c r="D157" s="26" t="s">
        <v>596</v>
      </c>
      <c r="E157" s="27">
        <v>500</v>
      </c>
      <c r="F157" s="27">
        <v>500</v>
      </c>
      <c r="G157" s="27">
        <v>500</v>
      </c>
      <c r="H157" s="27">
        <v>500</v>
      </c>
      <c r="I157" s="27">
        <v>500</v>
      </c>
      <c r="J157" s="27">
        <v>500</v>
      </c>
      <c r="K157" s="27">
        <v>500</v>
      </c>
      <c r="L157" s="27">
        <v>500</v>
      </c>
      <c r="M157" s="27">
        <v>500</v>
      </c>
      <c r="N157" s="27">
        <v>500</v>
      </c>
      <c r="O157" s="27">
        <v>500</v>
      </c>
      <c r="P157" s="27">
        <v>500</v>
      </c>
      <c r="Q157" s="3">
        <f t="shared" si="7"/>
        <v>6000</v>
      </c>
      <c r="R157" s="3">
        <v>1206413.77</v>
      </c>
      <c r="S157" s="39">
        <f>Q157/Summary!$Q$16</f>
        <v>7.5329342900333965E-5</v>
      </c>
      <c r="T157" s="35"/>
      <c r="U157" s="40" t="e">
        <f t="shared" si="8"/>
        <v>#DIV/0!</v>
      </c>
    </row>
    <row r="158" spans="1:21" s="19" customFormat="1" ht="25.4" customHeight="1">
      <c r="D158" s="21" t="s">
        <v>597</v>
      </c>
      <c r="E158" s="45">
        <f>SUM(E15:E157)</f>
        <v>7881.670000000001</v>
      </c>
      <c r="F158" s="45">
        <f t="shared" ref="F158:Q158" si="9">SUM(F15:F157)</f>
        <v>7211.5899999999983</v>
      </c>
      <c r="G158" s="45">
        <f t="shared" si="9"/>
        <v>7085.78</v>
      </c>
      <c r="H158" s="45">
        <f t="shared" si="9"/>
        <v>7206.4400000000005</v>
      </c>
      <c r="I158" s="45">
        <f t="shared" si="9"/>
        <v>7132.1699999999992</v>
      </c>
      <c r="J158" s="45">
        <f t="shared" si="9"/>
        <v>11752.7</v>
      </c>
      <c r="K158" s="45">
        <f t="shared" si="9"/>
        <v>6628.28</v>
      </c>
      <c r="L158" s="45">
        <f t="shared" si="9"/>
        <v>6643.4800000000014</v>
      </c>
      <c r="M158" s="45">
        <f t="shared" si="9"/>
        <v>9732.0299999999988</v>
      </c>
      <c r="N158" s="45">
        <f t="shared" si="9"/>
        <v>7091.84</v>
      </c>
      <c r="O158" s="45">
        <f t="shared" si="9"/>
        <v>6597.49</v>
      </c>
      <c r="P158" s="45">
        <f t="shared" si="9"/>
        <v>12053.61</v>
      </c>
      <c r="Q158" s="45">
        <f t="shared" si="9"/>
        <v>97017.079999999987</v>
      </c>
      <c r="R158" s="45">
        <v>3775081.91</v>
      </c>
      <c r="S158" s="39">
        <f>Q158/Summary!$Q$16</f>
        <v>1.2180388144181886E-3</v>
      </c>
      <c r="T158" s="35"/>
      <c r="U158" s="40" t="e">
        <f t="shared" si="8"/>
        <v>#DIV/0!</v>
      </c>
    </row>
    <row r="159" spans="1:21" s="19" customFormat="1" ht="25.4" customHeight="1">
      <c r="D159" s="21" t="s">
        <v>598</v>
      </c>
      <c r="E159" s="45">
        <f>+E12+E158</f>
        <v>225093.00999999998</v>
      </c>
      <c r="F159" s="45">
        <f t="shared" ref="F159:Q159" si="10">+F12+F158</f>
        <v>208141.81999999998</v>
      </c>
      <c r="G159" s="45">
        <f t="shared" si="10"/>
        <v>207480.84000000003</v>
      </c>
      <c r="H159" s="45">
        <f t="shared" si="10"/>
        <v>212529.25999999998</v>
      </c>
      <c r="I159" s="45">
        <f t="shared" si="10"/>
        <v>215176.63000000003</v>
      </c>
      <c r="J159" s="45">
        <f t="shared" si="10"/>
        <v>211300.33000000005</v>
      </c>
      <c r="K159" s="45">
        <f t="shared" si="10"/>
        <v>205943.69999999998</v>
      </c>
      <c r="L159" s="45">
        <f t="shared" si="10"/>
        <v>205992.91999999998</v>
      </c>
      <c r="M159" s="45">
        <f t="shared" si="10"/>
        <v>209125.77</v>
      </c>
      <c r="N159" s="45">
        <f t="shared" si="10"/>
        <v>222786.61</v>
      </c>
      <c r="O159" s="45">
        <f t="shared" si="10"/>
        <v>205853.32</v>
      </c>
      <c r="P159" s="45">
        <f t="shared" si="10"/>
        <v>211234.22999999998</v>
      </c>
      <c r="Q159" s="45">
        <f t="shared" si="10"/>
        <v>2540658.44</v>
      </c>
      <c r="R159" s="45">
        <v>12763695.470000001</v>
      </c>
      <c r="S159" s="39">
        <f>Q159/Summary!$Q$16</f>
        <v>3.1897688469897927E-2</v>
      </c>
      <c r="T159" s="35"/>
      <c r="U159" s="40" t="e">
        <f t="shared" si="8"/>
        <v>#DIV/0!</v>
      </c>
    </row>
    <row r="160" spans="1:21" s="3" customFormat="1" ht="25.4" customHeight="1">
      <c r="A160" s="77" t="s">
        <v>599</v>
      </c>
      <c r="B160" s="3" t="s">
        <v>1007</v>
      </c>
      <c r="D160" s="42" t="s">
        <v>353</v>
      </c>
      <c r="E160" s="27">
        <f t="shared" ref="E160:Q160" si="11">+E159</f>
        <v>225093.00999999998</v>
      </c>
      <c r="F160" s="27">
        <f t="shared" si="11"/>
        <v>208141.81999999998</v>
      </c>
      <c r="G160" s="27">
        <f t="shared" si="11"/>
        <v>207480.84000000003</v>
      </c>
      <c r="H160" s="27">
        <f t="shared" si="11"/>
        <v>212529.25999999998</v>
      </c>
      <c r="I160" s="27">
        <f t="shared" si="11"/>
        <v>215176.63000000003</v>
      </c>
      <c r="J160" s="27">
        <f t="shared" si="11"/>
        <v>211300.33000000005</v>
      </c>
      <c r="K160" s="27">
        <f t="shared" si="11"/>
        <v>205943.69999999998</v>
      </c>
      <c r="L160" s="27">
        <f t="shared" si="11"/>
        <v>205992.91999999998</v>
      </c>
      <c r="M160" s="27">
        <f t="shared" si="11"/>
        <v>209125.77</v>
      </c>
      <c r="N160" s="27">
        <f t="shared" si="11"/>
        <v>222786.61</v>
      </c>
      <c r="O160" s="27">
        <f t="shared" si="11"/>
        <v>205853.32</v>
      </c>
      <c r="P160" s="27">
        <f t="shared" si="11"/>
        <v>211234.22999999998</v>
      </c>
      <c r="Q160" s="3">
        <f t="shared" si="11"/>
        <v>2540658.44</v>
      </c>
      <c r="R160" s="3">
        <v>12763695.470000001</v>
      </c>
      <c r="T160" s="35"/>
      <c r="U160" s="40" t="e">
        <f t="shared" ref="U160" si="12">IF(Q160-T160=0,0,(Q160-T160)/T160)</f>
        <v>#DIV/0!</v>
      </c>
    </row>
    <row r="161" spans="1:21" s="3" customFormat="1" ht="25.4" customHeight="1">
      <c r="D161" s="42"/>
      <c r="E161" s="68"/>
      <c r="F161" s="68"/>
      <c r="G161" s="68"/>
      <c r="H161" s="68"/>
      <c r="I161" s="68"/>
      <c r="T161" s="35"/>
      <c r="U161" s="40"/>
    </row>
    <row r="162" spans="1:21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T162" s="35"/>
      <c r="U162" s="40"/>
    </row>
    <row r="163" spans="1:21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T163" s="35"/>
      <c r="U163" s="40"/>
    </row>
    <row r="164" spans="1:21" s="3" customFormat="1" ht="25.4" customHeight="1">
      <c r="A164" s="253" t="s">
        <v>297</v>
      </c>
      <c r="B164" s="3" t="s">
        <v>1007</v>
      </c>
      <c r="D164" s="26" t="s">
        <v>299</v>
      </c>
      <c r="E164" s="63">
        <v>11500</v>
      </c>
      <c r="F164" s="63">
        <v>11500</v>
      </c>
      <c r="G164" s="63">
        <v>11500</v>
      </c>
      <c r="H164" s="63">
        <v>11500</v>
      </c>
      <c r="I164" s="63">
        <v>11500</v>
      </c>
      <c r="J164" s="63">
        <v>11500</v>
      </c>
      <c r="K164" s="63">
        <v>11500</v>
      </c>
      <c r="L164" s="63">
        <v>11500</v>
      </c>
      <c r="M164" s="63">
        <v>11500</v>
      </c>
      <c r="N164" s="63">
        <v>11500</v>
      </c>
      <c r="O164" s="63">
        <v>11500</v>
      </c>
      <c r="P164" s="63">
        <v>11500</v>
      </c>
      <c r="Q164" s="3">
        <f>SUM(E164:P164)</f>
        <v>138000</v>
      </c>
      <c r="R164" s="3">
        <v>3618344.18</v>
      </c>
      <c r="S164" s="39">
        <f>Q164/Summary!$Q$16</f>
        <v>1.7325748867076812E-3</v>
      </c>
      <c r="T164" s="35"/>
      <c r="U164" s="40" t="e">
        <f>-IF(Q164-T164=0,0,(Q164-T164)/T164)</f>
        <v>#DIV/0!</v>
      </c>
    </row>
    <row r="165" spans="1:21" s="3" customFormat="1" ht="25.4" customHeight="1">
      <c r="A165" s="50" t="s">
        <v>300</v>
      </c>
      <c r="B165" s="3" t="s">
        <v>1007</v>
      </c>
      <c r="D165" s="26" t="s">
        <v>434</v>
      </c>
      <c r="E165" s="63">
        <v>58700</v>
      </c>
      <c r="F165" s="63">
        <v>58700</v>
      </c>
      <c r="G165" s="63">
        <v>58700</v>
      </c>
      <c r="H165" s="63">
        <v>58700</v>
      </c>
      <c r="I165" s="63">
        <v>58700</v>
      </c>
      <c r="J165" s="63">
        <v>58700</v>
      </c>
      <c r="K165" s="63">
        <v>58700</v>
      </c>
      <c r="L165" s="63">
        <v>58700</v>
      </c>
      <c r="M165" s="63">
        <v>58700</v>
      </c>
      <c r="N165" s="63">
        <v>58700</v>
      </c>
      <c r="O165" s="63">
        <v>58700</v>
      </c>
      <c r="P165" s="63">
        <v>58700</v>
      </c>
      <c r="Q165" s="3">
        <f>SUM(E165:P165)</f>
        <v>704400</v>
      </c>
      <c r="R165" s="3">
        <v>1159791.6399999999</v>
      </c>
      <c r="S165" s="39">
        <f>Q165/Summary!$Q$16</f>
        <v>8.8436648564992077E-3</v>
      </c>
      <c r="T165" s="35"/>
      <c r="U165" s="40" t="e">
        <f t="shared" ref="U165:U197" si="13">-IF(Q165-T165=0,0,(Q165-T165)/T165)</f>
        <v>#DIV/0!</v>
      </c>
    </row>
    <row r="166" spans="1:21" s="3" customFormat="1" ht="25.4" customHeight="1">
      <c r="B166" s="51"/>
      <c r="D166" s="21" t="s">
        <v>437</v>
      </c>
      <c r="E166" s="52">
        <f>SUM(E164:E165)</f>
        <v>70200</v>
      </c>
      <c r="F166" s="52">
        <f t="shared" ref="F166:P166" si="14">SUM(F164:F165)</f>
        <v>70200</v>
      </c>
      <c r="G166" s="52">
        <f t="shared" si="14"/>
        <v>70200</v>
      </c>
      <c r="H166" s="52">
        <f t="shared" si="14"/>
        <v>70200</v>
      </c>
      <c r="I166" s="52">
        <f t="shared" si="14"/>
        <v>70200</v>
      </c>
      <c r="J166" s="52">
        <f t="shared" si="14"/>
        <v>70200</v>
      </c>
      <c r="K166" s="52">
        <f t="shared" si="14"/>
        <v>70200</v>
      </c>
      <c r="L166" s="52">
        <f t="shared" si="14"/>
        <v>70200</v>
      </c>
      <c r="M166" s="52">
        <f t="shared" si="14"/>
        <v>70200</v>
      </c>
      <c r="N166" s="52">
        <f t="shared" si="14"/>
        <v>70200</v>
      </c>
      <c r="O166" s="52">
        <f t="shared" si="14"/>
        <v>70200</v>
      </c>
      <c r="P166" s="52">
        <f t="shared" si="14"/>
        <v>70200</v>
      </c>
      <c r="Q166" s="52">
        <f t="shared" ref="Q166" si="15">SUM(Q164:Q165)</f>
        <v>842400</v>
      </c>
      <c r="R166" s="52">
        <v>4778135.82</v>
      </c>
      <c r="S166" s="39">
        <f>Q166/Summary!$Q$16</f>
        <v>1.0576239743206888E-2</v>
      </c>
      <c r="T166" s="35"/>
      <c r="U166" s="40" t="e">
        <f t="shared" si="13"/>
        <v>#DIV/0!</v>
      </c>
    </row>
    <row r="167" spans="1:21" s="3" customFormat="1" ht="25.4" customHeight="1">
      <c r="B167" s="51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T167" s="35"/>
      <c r="U167" s="40"/>
    </row>
    <row r="168" spans="1:21" s="3" customFormat="1" ht="25.4" customHeight="1">
      <c r="A168" s="254" t="s">
        <v>603</v>
      </c>
      <c r="B168" s="3" t="s">
        <v>1007</v>
      </c>
      <c r="D168" s="26" t="s">
        <v>309</v>
      </c>
      <c r="E168" s="63">
        <v>34914.899999999994</v>
      </c>
      <c r="F168" s="63">
        <v>18721.8</v>
      </c>
      <c r="G168" s="63">
        <v>18721.8</v>
      </c>
      <c r="H168" s="63">
        <v>23579.690000000002</v>
      </c>
      <c r="I168" s="63">
        <v>26818.32</v>
      </c>
      <c r="J168" s="63">
        <v>18721.8</v>
      </c>
      <c r="K168" s="63">
        <v>18721.8</v>
      </c>
      <c r="L168" s="63">
        <v>18721.8</v>
      </c>
      <c r="M168" s="63">
        <v>18721.8</v>
      </c>
      <c r="N168" s="63">
        <v>34914.899999999994</v>
      </c>
      <c r="O168" s="63">
        <v>18721.8</v>
      </c>
      <c r="P168" s="63">
        <v>18721.8</v>
      </c>
      <c r="Q168" s="3">
        <f>SUM(E168:P168)</f>
        <v>270002.20999999996</v>
      </c>
      <c r="R168" s="3">
        <v>148934.06</v>
      </c>
      <c r="S168" s="39">
        <f>Q168/Summary!$Q$16</f>
        <v>3.3898481768229963E-3</v>
      </c>
      <c r="T168" s="35"/>
      <c r="U168" s="40" t="e">
        <f t="shared" si="13"/>
        <v>#DIV/0!</v>
      </c>
    </row>
    <row r="169" spans="1:21" s="3" customFormat="1" ht="25.4" customHeight="1">
      <c r="A169" s="54" t="s">
        <v>310</v>
      </c>
      <c r="B169" s="3" t="s">
        <v>1007</v>
      </c>
      <c r="D169" s="26" t="s">
        <v>311</v>
      </c>
      <c r="E169" s="63">
        <v>877.5</v>
      </c>
      <c r="F169" s="63">
        <v>877.5</v>
      </c>
      <c r="G169" s="63">
        <v>877.5</v>
      </c>
      <c r="H169" s="63">
        <v>877.5</v>
      </c>
      <c r="I169" s="63">
        <v>877.5</v>
      </c>
      <c r="J169" s="63">
        <v>877.5</v>
      </c>
      <c r="K169" s="63">
        <v>877.5</v>
      </c>
      <c r="L169" s="63">
        <v>877.5</v>
      </c>
      <c r="M169" s="63">
        <v>877.5</v>
      </c>
      <c r="N169" s="63">
        <v>877.5</v>
      </c>
      <c r="O169" s="63">
        <v>877.5</v>
      </c>
      <c r="P169" s="63">
        <v>877.5</v>
      </c>
      <c r="Q169" s="3">
        <f t="shared" ref="Q169:Q174" si="16">SUM(E169:P169)</f>
        <v>10530</v>
      </c>
      <c r="R169" s="3">
        <v>678215.17</v>
      </c>
      <c r="S169" s="39">
        <f>Q169/Summary!$Q$16</f>
        <v>1.3220299679008612E-4</v>
      </c>
      <c r="T169" s="35"/>
      <c r="U169" s="40" t="e">
        <f t="shared" si="13"/>
        <v>#DIV/0!</v>
      </c>
    </row>
    <row r="170" spans="1:21" s="3" customFormat="1" ht="25.4" customHeight="1">
      <c r="A170" s="254" t="s">
        <v>604</v>
      </c>
      <c r="B170" s="3" t="s">
        <v>1007</v>
      </c>
      <c r="D170" s="26" t="s">
        <v>313</v>
      </c>
      <c r="E170" s="63">
        <v>2700</v>
      </c>
      <c r="F170" s="63">
        <v>2700</v>
      </c>
      <c r="G170" s="63">
        <v>2700</v>
      </c>
      <c r="H170" s="63">
        <v>2700</v>
      </c>
      <c r="I170" s="63">
        <v>2700</v>
      </c>
      <c r="J170" s="63">
        <v>2700</v>
      </c>
      <c r="K170" s="63">
        <v>2700</v>
      </c>
      <c r="L170" s="63">
        <v>2700</v>
      </c>
      <c r="M170" s="63">
        <v>2700</v>
      </c>
      <c r="N170" s="63">
        <v>2700</v>
      </c>
      <c r="O170" s="63">
        <v>2700</v>
      </c>
      <c r="P170" s="63">
        <v>2700</v>
      </c>
      <c r="Q170" s="3">
        <f t="shared" si="16"/>
        <v>32400</v>
      </c>
      <c r="R170" s="3">
        <v>16190</v>
      </c>
      <c r="S170" s="39">
        <f>Q170/Summary!$Q$16</f>
        <v>4.0677845166180339E-4</v>
      </c>
      <c r="T170" s="35"/>
      <c r="U170" s="40" t="e">
        <f t="shared" si="13"/>
        <v>#DIV/0!</v>
      </c>
    </row>
    <row r="171" spans="1:21" s="3" customFormat="1" ht="25.4" customHeight="1">
      <c r="A171" s="254" t="s">
        <v>605</v>
      </c>
      <c r="B171" s="3" t="s">
        <v>1007</v>
      </c>
      <c r="D171" s="26" t="s">
        <v>315</v>
      </c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3">
        <f t="shared" ref="Q171:Q172" si="17">SUM(E171:P171)</f>
        <v>0</v>
      </c>
      <c r="R171" s="3">
        <v>33600</v>
      </c>
      <c r="S171" s="39">
        <f>Q171/Summary!$Q$16</f>
        <v>0</v>
      </c>
      <c r="T171" s="35"/>
      <c r="U171" s="40"/>
    </row>
    <row r="172" spans="1:21" s="3" customFormat="1" ht="24.75" customHeight="1">
      <c r="A172" s="254" t="s">
        <v>606</v>
      </c>
      <c r="B172" s="3" t="s">
        <v>1007</v>
      </c>
      <c r="D172" s="26" t="s">
        <v>317</v>
      </c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3">
        <f t="shared" si="17"/>
        <v>0</v>
      </c>
      <c r="R172" s="3">
        <v>0</v>
      </c>
      <c r="S172" s="39">
        <f>Q172/Summary!$Q$16</f>
        <v>0</v>
      </c>
      <c r="T172" s="35"/>
      <c r="U172" s="40"/>
    </row>
    <row r="173" spans="1:21" s="3" customFormat="1" ht="25.4" customHeight="1">
      <c r="A173" s="254" t="s">
        <v>1066</v>
      </c>
      <c r="B173" s="3" t="s">
        <v>1007</v>
      </c>
      <c r="D173" s="26" t="s">
        <v>1138</v>
      </c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3">
        <f t="shared" si="16"/>
        <v>0</v>
      </c>
      <c r="R173" s="3">
        <v>33600</v>
      </c>
      <c r="S173" s="39">
        <f>Q173/Summary!$Q$16</f>
        <v>0</v>
      </c>
      <c r="T173" s="35"/>
      <c r="U173" s="40"/>
    </row>
    <row r="174" spans="1:21" s="3" customFormat="1" ht="24.75" customHeight="1">
      <c r="A174" s="254" t="s">
        <v>1066</v>
      </c>
      <c r="B174" s="3" t="s">
        <v>1007</v>
      </c>
      <c r="D174" s="26" t="s">
        <v>1070</v>
      </c>
      <c r="E174" s="63">
        <v>66319.5</v>
      </c>
      <c r="F174" s="63">
        <v>66215.37</v>
      </c>
      <c r="G174" s="63">
        <v>66134.16</v>
      </c>
      <c r="H174" s="63">
        <v>66161.91</v>
      </c>
      <c r="I174" s="63">
        <v>66037</v>
      </c>
      <c r="J174" s="63">
        <v>65931.66</v>
      </c>
      <c r="K174" s="63">
        <v>65883.789999999994</v>
      </c>
      <c r="L174" s="63">
        <v>65894.539999999994</v>
      </c>
      <c r="M174" s="63">
        <v>65918.429999999993</v>
      </c>
      <c r="N174" s="63">
        <v>65962.27</v>
      </c>
      <c r="O174" s="63">
        <v>65889.460000000006</v>
      </c>
      <c r="P174" s="63">
        <v>65870.539999999994</v>
      </c>
      <c r="Q174" s="3">
        <f t="shared" si="16"/>
        <v>792218.62999999989</v>
      </c>
      <c r="R174" s="3">
        <v>0</v>
      </c>
      <c r="S174" s="39">
        <f>Q174/Summary!$Q$16</f>
        <v>9.946218138550466E-3</v>
      </c>
      <c r="T174" s="35"/>
      <c r="U174" s="40"/>
    </row>
    <row r="175" spans="1:21" s="19" customFormat="1" ht="25.4" customHeight="1">
      <c r="A175" s="54"/>
      <c r="B175" s="51"/>
      <c r="D175" s="19" t="s">
        <v>318</v>
      </c>
      <c r="E175" s="52">
        <f>SUM(E168:E174)</f>
        <v>104811.9</v>
      </c>
      <c r="F175" s="52">
        <f t="shared" ref="F175:P175" si="18">SUM(F168:F174)</f>
        <v>88514.67</v>
      </c>
      <c r="G175" s="52">
        <f t="shared" si="18"/>
        <v>88433.46</v>
      </c>
      <c r="H175" s="52">
        <f t="shared" si="18"/>
        <v>93319.1</v>
      </c>
      <c r="I175" s="52">
        <f t="shared" si="18"/>
        <v>96432.82</v>
      </c>
      <c r="J175" s="52">
        <f t="shared" si="18"/>
        <v>88230.96</v>
      </c>
      <c r="K175" s="52">
        <f t="shared" si="18"/>
        <v>88183.09</v>
      </c>
      <c r="L175" s="52">
        <f t="shared" si="18"/>
        <v>88193.84</v>
      </c>
      <c r="M175" s="52">
        <f t="shared" si="18"/>
        <v>88217.73</v>
      </c>
      <c r="N175" s="52">
        <f t="shared" si="18"/>
        <v>104454.67</v>
      </c>
      <c r="O175" s="52">
        <f t="shared" si="18"/>
        <v>88188.760000000009</v>
      </c>
      <c r="P175" s="52">
        <f t="shared" si="18"/>
        <v>88169.84</v>
      </c>
      <c r="Q175" s="52">
        <f t="shared" ref="Q175" si="19">SUM(Q168:Q174)</f>
        <v>1105150.8399999999</v>
      </c>
      <c r="R175" s="52">
        <v>876939.23</v>
      </c>
      <c r="S175" s="39">
        <f>Q175/Summary!$Q$16</f>
        <v>1.3875047763825352E-2</v>
      </c>
      <c r="T175" s="35"/>
      <c r="U175" s="40" t="e">
        <f t="shared" si="13"/>
        <v>#DIV/0!</v>
      </c>
    </row>
    <row r="176" spans="1:21" s="3" customFormat="1" ht="25.4" customHeight="1">
      <c r="A176" s="50"/>
      <c r="D176" s="19"/>
      <c r="E176" s="53"/>
      <c r="F176" s="53"/>
      <c r="G176" s="53"/>
      <c r="H176" s="53"/>
      <c r="I176" s="53"/>
      <c r="T176" s="35"/>
      <c r="U176" s="40"/>
    </row>
    <row r="177" spans="1:21" s="3" customFormat="1" ht="25.4" customHeight="1">
      <c r="A177" s="254" t="s">
        <v>609</v>
      </c>
      <c r="B177" s="3" t="s">
        <v>1007</v>
      </c>
      <c r="D177" s="26" t="s">
        <v>320</v>
      </c>
      <c r="E177" s="63">
        <v>11028.299999999997</v>
      </c>
      <c r="F177" s="63">
        <v>11028.3</v>
      </c>
      <c r="G177" s="63">
        <v>11028.3</v>
      </c>
      <c r="H177" s="63">
        <v>11028.3</v>
      </c>
      <c r="I177" s="63">
        <v>11028.3</v>
      </c>
      <c r="J177" s="63">
        <v>11028.3</v>
      </c>
      <c r="K177" s="63">
        <v>11028.3</v>
      </c>
      <c r="L177" s="63">
        <v>11028.3</v>
      </c>
      <c r="M177" s="63">
        <v>11028.3</v>
      </c>
      <c r="N177" s="63">
        <v>11028.3</v>
      </c>
      <c r="O177" s="63">
        <v>11028.3</v>
      </c>
      <c r="P177" s="63">
        <v>11028.3</v>
      </c>
      <c r="Q177" s="3">
        <f>SUM(E177:P177)</f>
        <v>132339.6</v>
      </c>
      <c r="R177" s="3">
        <v>451796</v>
      </c>
      <c r="S177" s="39">
        <f>Q177/Summary!$Q$16</f>
        <v>1.6615091846155063E-3</v>
      </c>
      <c r="T177" s="35"/>
      <c r="U177" s="40" t="e">
        <f t="shared" si="13"/>
        <v>#DIV/0!</v>
      </c>
    </row>
    <row r="178" spans="1:21" s="3" customFormat="1" ht="25.4" customHeight="1">
      <c r="A178" s="254" t="s">
        <v>610</v>
      </c>
      <c r="B178" s="3" t="s">
        <v>1007</v>
      </c>
      <c r="D178" s="26" t="s">
        <v>322</v>
      </c>
      <c r="E178" s="63">
        <v>4212</v>
      </c>
      <c r="F178" s="63">
        <v>4212</v>
      </c>
      <c r="G178" s="63">
        <v>4212</v>
      </c>
      <c r="H178" s="63">
        <v>4212</v>
      </c>
      <c r="I178" s="63">
        <v>4212</v>
      </c>
      <c r="J178" s="63">
        <v>4212</v>
      </c>
      <c r="K178" s="63">
        <v>4212</v>
      </c>
      <c r="L178" s="63">
        <v>4212</v>
      </c>
      <c r="M178" s="63">
        <v>4212</v>
      </c>
      <c r="N178" s="63">
        <v>4212</v>
      </c>
      <c r="O178" s="63">
        <v>4212</v>
      </c>
      <c r="P178" s="63">
        <v>4212</v>
      </c>
      <c r="Q178" s="3">
        <f t="shared" ref="Q178:Q184" si="20">SUM(E178:P178)</f>
        <v>50544</v>
      </c>
      <c r="R178" s="3">
        <v>306116.28000000003</v>
      </c>
      <c r="S178" s="39">
        <f>Q178/Summary!$Q$16</f>
        <v>6.3457438459241331E-4</v>
      </c>
      <c r="T178" s="35"/>
      <c r="U178" s="40" t="e">
        <f t="shared" si="13"/>
        <v>#DIV/0!</v>
      </c>
    </row>
    <row r="179" spans="1:21" s="3" customFormat="1" ht="25.4" customHeight="1">
      <c r="A179" s="254" t="s">
        <v>611</v>
      </c>
      <c r="B179" s="3" t="s">
        <v>1007</v>
      </c>
      <c r="D179" s="26" t="s">
        <v>324</v>
      </c>
      <c r="E179" s="63">
        <v>561.6</v>
      </c>
      <c r="F179" s="63">
        <v>561.6</v>
      </c>
      <c r="G179" s="63">
        <v>561.6</v>
      </c>
      <c r="H179" s="63">
        <v>561.6</v>
      </c>
      <c r="I179" s="63">
        <v>561.6</v>
      </c>
      <c r="J179" s="63">
        <v>561.6</v>
      </c>
      <c r="K179" s="63">
        <v>561.6</v>
      </c>
      <c r="L179" s="63">
        <v>561.6</v>
      </c>
      <c r="M179" s="63">
        <v>561.6</v>
      </c>
      <c r="N179" s="63">
        <v>561.6</v>
      </c>
      <c r="O179" s="63">
        <v>561.6</v>
      </c>
      <c r="P179" s="63">
        <v>561.6</v>
      </c>
      <c r="Q179" s="3">
        <f t="shared" si="20"/>
        <v>6739.2000000000016</v>
      </c>
      <c r="R179" s="3">
        <v>15840.48</v>
      </c>
      <c r="S179" s="39">
        <f>Q179/Summary!$Q$16</f>
        <v>8.4609917945655132E-5</v>
      </c>
      <c r="T179" s="35"/>
      <c r="U179" s="40" t="e">
        <f t="shared" si="13"/>
        <v>#DIV/0!</v>
      </c>
    </row>
    <row r="180" spans="1:21" s="3" customFormat="1" ht="25.4" customHeight="1">
      <c r="A180" s="254" t="s">
        <v>612</v>
      </c>
      <c r="B180" s="3" t="s">
        <v>1007</v>
      </c>
      <c r="D180" s="26" t="s">
        <v>326</v>
      </c>
      <c r="E180" s="63">
        <v>280.8</v>
      </c>
      <c r="F180" s="63">
        <v>280.8</v>
      </c>
      <c r="G180" s="63">
        <v>280.8</v>
      </c>
      <c r="H180" s="63">
        <v>280.8</v>
      </c>
      <c r="I180" s="63">
        <v>280.8</v>
      </c>
      <c r="J180" s="63">
        <v>280.8</v>
      </c>
      <c r="K180" s="63">
        <v>280.8</v>
      </c>
      <c r="L180" s="63">
        <v>280.8</v>
      </c>
      <c r="M180" s="63">
        <v>280.8</v>
      </c>
      <c r="N180" s="63">
        <v>280.8</v>
      </c>
      <c r="O180" s="63">
        <v>280.8</v>
      </c>
      <c r="P180" s="63">
        <v>280.8</v>
      </c>
      <c r="Q180" s="3">
        <f t="shared" si="20"/>
        <v>3369.6000000000008</v>
      </c>
      <c r="R180" s="3">
        <v>7884.16</v>
      </c>
      <c r="S180" s="39">
        <f>Q180/Summary!$Q$16</f>
        <v>4.2304958972827566E-5</v>
      </c>
      <c r="T180" s="35"/>
      <c r="U180" s="40" t="e">
        <f t="shared" si="13"/>
        <v>#DIV/0!</v>
      </c>
    </row>
    <row r="181" spans="1:21" s="3" customFormat="1" ht="25.4" customHeight="1">
      <c r="A181" s="254" t="s">
        <v>613</v>
      </c>
      <c r="B181" s="3" t="s">
        <v>1007</v>
      </c>
      <c r="D181" s="26" t="s">
        <v>328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3">
        <f t="shared" si="20"/>
        <v>0</v>
      </c>
      <c r="R181" s="3">
        <v>36851.85</v>
      </c>
      <c r="S181" s="39">
        <f>Q181/Summary!$Q$16</f>
        <v>0</v>
      </c>
      <c r="T181" s="35"/>
      <c r="U181" s="40">
        <f t="shared" si="13"/>
        <v>0</v>
      </c>
    </row>
    <row r="182" spans="1:21" s="3" customFormat="1" ht="25.4" customHeight="1">
      <c r="A182" s="254" t="s">
        <v>614</v>
      </c>
      <c r="B182" s="3" t="s">
        <v>1007</v>
      </c>
      <c r="D182" s="26" t="s">
        <v>330</v>
      </c>
      <c r="E182" s="63">
        <v>5616</v>
      </c>
      <c r="F182" s="63">
        <v>5616</v>
      </c>
      <c r="G182" s="63">
        <v>5616</v>
      </c>
      <c r="H182" s="63">
        <v>5616</v>
      </c>
      <c r="I182" s="63">
        <v>5616</v>
      </c>
      <c r="J182" s="63">
        <v>5616</v>
      </c>
      <c r="K182" s="63">
        <v>5616</v>
      </c>
      <c r="L182" s="63">
        <v>5616</v>
      </c>
      <c r="M182" s="63">
        <v>5616</v>
      </c>
      <c r="N182" s="63">
        <v>5616</v>
      </c>
      <c r="O182" s="63">
        <v>5616</v>
      </c>
      <c r="P182" s="63">
        <v>5616</v>
      </c>
      <c r="Q182" s="3">
        <f t="shared" si="20"/>
        <v>67392</v>
      </c>
      <c r="R182" s="3">
        <v>425126.40000000002</v>
      </c>
      <c r="S182" s="39">
        <f>Q182/Summary!$Q$16</f>
        <v>8.4609917945655108E-4</v>
      </c>
      <c r="T182" s="35"/>
      <c r="U182" s="40" t="e">
        <f t="shared" si="13"/>
        <v>#DIV/0!</v>
      </c>
    </row>
    <row r="183" spans="1:21" s="3" customFormat="1" ht="25.4" customHeight="1">
      <c r="A183" s="254" t="s">
        <v>615</v>
      </c>
      <c r="B183" s="3" t="s">
        <v>1007</v>
      </c>
      <c r="D183" s="26" t="s">
        <v>332</v>
      </c>
      <c r="E183" s="63">
        <v>1404</v>
      </c>
      <c r="F183" s="63">
        <v>1404</v>
      </c>
      <c r="G183" s="63">
        <v>1404</v>
      </c>
      <c r="H183" s="63">
        <v>1404</v>
      </c>
      <c r="I183" s="63">
        <v>1404</v>
      </c>
      <c r="J183" s="63">
        <v>1404</v>
      </c>
      <c r="K183" s="63">
        <v>1404</v>
      </c>
      <c r="L183" s="63">
        <v>1404</v>
      </c>
      <c r="M183" s="63">
        <v>1404</v>
      </c>
      <c r="N183" s="63">
        <v>1404</v>
      </c>
      <c r="O183" s="63">
        <v>1404</v>
      </c>
      <c r="P183" s="63">
        <v>1404</v>
      </c>
      <c r="Q183" s="3">
        <f t="shared" si="20"/>
        <v>16848</v>
      </c>
      <c r="R183" s="3">
        <v>0</v>
      </c>
      <c r="S183" s="39">
        <f>Q183/Summary!$Q$16</f>
        <v>2.1152479486413777E-4</v>
      </c>
      <c r="T183" s="35"/>
      <c r="U183" s="40" t="e">
        <f t="shared" si="13"/>
        <v>#DIV/0!</v>
      </c>
    </row>
    <row r="184" spans="1:21" s="3" customFormat="1" ht="25.4" customHeight="1">
      <c r="A184" s="254" t="s">
        <v>616</v>
      </c>
      <c r="B184" s="3" t="s">
        <v>1007</v>
      </c>
      <c r="D184" s="26" t="s">
        <v>334</v>
      </c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3">
        <f t="shared" si="20"/>
        <v>0</v>
      </c>
      <c r="R184" s="3">
        <v>0</v>
      </c>
      <c r="S184" s="39">
        <f>Q184/Summary!$Q$16</f>
        <v>0</v>
      </c>
      <c r="T184" s="35"/>
      <c r="U184" s="40">
        <f t="shared" si="13"/>
        <v>0</v>
      </c>
    </row>
    <row r="185" spans="1:21" s="19" customFormat="1" ht="25.4" customHeight="1">
      <c r="A185" s="54"/>
      <c r="B185" s="51"/>
      <c r="D185" s="19" t="s">
        <v>335</v>
      </c>
      <c r="E185" s="45">
        <f>SUM(E177:E184)</f>
        <v>23102.699999999997</v>
      </c>
      <c r="F185" s="45">
        <f t="shared" ref="F185:P185" si="21">SUM(F177:F184)</f>
        <v>23102.699999999997</v>
      </c>
      <c r="G185" s="45">
        <f t="shared" si="21"/>
        <v>23102.699999999997</v>
      </c>
      <c r="H185" s="45">
        <f t="shared" si="21"/>
        <v>23102.699999999997</v>
      </c>
      <c r="I185" s="45">
        <f t="shared" si="21"/>
        <v>23102.699999999997</v>
      </c>
      <c r="J185" s="45">
        <f t="shared" si="21"/>
        <v>23102.699999999997</v>
      </c>
      <c r="K185" s="45">
        <f t="shared" si="21"/>
        <v>23102.699999999997</v>
      </c>
      <c r="L185" s="45">
        <f t="shared" si="21"/>
        <v>23102.699999999997</v>
      </c>
      <c r="M185" s="45">
        <f t="shared" si="21"/>
        <v>23102.699999999997</v>
      </c>
      <c r="N185" s="45">
        <f t="shared" si="21"/>
        <v>23102.699999999997</v>
      </c>
      <c r="O185" s="45">
        <f t="shared" si="21"/>
        <v>23102.699999999997</v>
      </c>
      <c r="P185" s="45">
        <f t="shared" si="21"/>
        <v>23102.699999999997</v>
      </c>
      <c r="Q185" s="45">
        <f t="shared" ref="Q185" si="22">SUM(Q177:Q184)</f>
        <v>277232.40000000002</v>
      </c>
      <c r="R185" s="45">
        <v>1243615.17</v>
      </c>
      <c r="S185" s="39">
        <f>Q185/Summary!$Q$16</f>
        <v>3.4806224204470913E-3</v>
      </c>
      <c r="T185" s="35"/>
      <c r="U185" s="40" t="e">
        <f t="shared" si="13"/>
        <v>#DIV/0!</v>
      </c>
    </row>
    <row r="186" spans="1:21" s="19" customFormat="1" ht="25.4" customHeight="1">
      <c r="A186" s="54"/>
      <c r="B186" s="51"/>
      <c r="D186" s="21"/>
      <c r="E186" s="55"/>
      <c r="F186" s="55"/>
      <c r="G186" s="55"/>
      <c r="H186" s="55"/>
      <c r="I186" s="55"/>
      <c r="T186" s="35"/>
      <c r="U186" s="40"/>
    </row>
    <row r="187" spans="1:21" s="3" customFormat="1" ht="25.4" customHeight="1">
      <c r="A187" s="254" t="s">
        <v>617</v>
      </c>
      <c r="B187" s="3" t="s">
        <v>1007</v>
      </c>
      <c r="D187" s="26" t="s">
        <v>337</v>
      </c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3">
        <f>SUM(E187:P187)</f>
        <v>0</v>
      </c>
      <c r="R187" s="3">
        <v>0</v>
      </c>
      <c r="S187" s="39">
        <f>Q187/Summary!$Q$16</f>
        <v>0</v>
      </c>
      <c r="T187" s="35"/>
      <c r="U187" s="40">
        <f t="shared" si="13"/>
        <v>0</v>
      </c>
    </row>
    <row r="188" spans="1:21" s="3" customFormat="1" ht="25.4" customHeight="1">
      <c r="A188" s="254" t="s">
        <v>618</v>
      </c>
      <c r="B188" s="3" t="s">
        <v>1007</v>
      </c>
      <c r="D188" s="3" t="s">
        <v>339</v>
      </c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3">
        <f t="shared" ref="Q188:Q193" si="23">SUM(E188:P188)</f>
        <v>0</v>
      </c>
      <c r="R188" s="3">
        <v>0</v>
      </c>
      <c r="S188" s="39">
        <f>Q188/Summary!$Q$16</f>
        <v>0</v>
      </c>
      <c r="T188" s="35"/>
      <c r="U188" s="40">
        <f t="shared" si="13"/>
        <v>0</v>
      </c>
    </row>
    <row r="189" spans="1:21" s="3" customFormat="1" ht="25.4" customHeight="1">
      <c r="A189" s="254" t="s">
        <v>619</v>
      </c>
      <c r="B189" s="3" t="s">
        <v>1007</v>
      </c>
      <c r="D189" s="26" t="s">
        <v>341</v>
      </c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3">
        <f t="shared" si="23"/>
        <v>0</v>
      </c>
      <c r="R189" s="3">
        <v>0</v>
      </c>
      <c r="S189" s="39">
        <f>Q189/Summary!$Q$16</f>
        <v>0</v>
      </c>
      <c r="T189" s="35"/>
      <c r="U189" s="40">
        <f t="shared" si="13"/>
        <v>0</v>
      </c>
    </row>
    <row r="190" spans="1:21" s="3" customFormat="1" ht="25.4" customHeight="1">
      <c r="A190" s="254" t="s">
        <v>620</v>
      </c>
      <c r="B190" s="3" t="s">
        <v>1007</v>
      </c>
      <c r="D190" s="26" t="s">
        <v>343</v>
      </c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3">
        <f t="shared" si="23"/>
        <v>0</v>
      </c>
      <c r="R190" s="3">
        <v>0</v>
      </c>
      <c r="S190" s="39">
        <f>Q190/Summary!$Q$16</f>
        <v>0</v>
      </c>
      <c r="T190" s="35"/>
      <c r="U190" s="40">
        <f t="shared" si="13"/>
        <v>0</v>
      </c>
    </row>
    <row r="191" spans="1:21" s="3" customFormat="1" ht="25.4" customHeight="1">
      <c r="A191" s="254" t="s">
        <v>621</v>
      </c>
      <c r="B191" s="3" t="s">
        <v>1007</v>
      </c>
      <c r="D191" s="26" t="s">
        <v>345</v>
      </c>
      <c r="E191" s="63">
        <v>780</v>
      </c>
      <c r="F191" s="63">
        <v>1040</v>
      </c>
      <c r="G191" s="63">
        <v>780</v>
      </c>
      <c r="H191" s="63">
        <v>780</v>
      </c>
      <c r="I191" s="63">
        <v>780</v>
      </c>
      <c r="J191" s="63">
        <v>780</v>
      </c>
      <c r="K191" s="63">
        <v>780</v>
      </c>
      <c r="L191" s="63">
        <v>780</v>
      </c>
      <c r="M191" s="63">
        <v>780</v>
      </c>
      <c r="N191" s="63">
        <v>780</v>
      </c>
      <c r="O191" s="63">
        <v>780</v>
      </c>
      <c r="P191" s="63">
        <v>780</v>
      </c>
      <c r="Q191" s="3">
        <f t="shared" si="23"/>
        <v>9620</v>
      </c>
      <c r="R191" s="3">
        <v>154372.09</v>
      </c>
      <c r="S191" s="39">
        <f>Q191/Summary!$Q$16</f>
        <v>1.2077804645020213E-4</v>
      </c>
      <c r="T191" s="35"/>
      <c r="U191" s="40" t="e">
        <f t="shared" si="13"/>
        <v>#DIV/0!</v>
      </c>
    </row>
    <row r="192" spans="1:21" s="3" customFormat="1" ht="25.4" customHeight="1">
      <c r="A192" s="254" t="s">
        <v>346</v>
      </c>
      <c r="B192" s="3" t="s">
        <v>1007</v>
      </c>
      <c r="D192" s="26" t="s">
        <v>347</v>
      </c>
      <c r="E192" s="63">
        <v>4624.49</v>
      </c>
      <c r="F192" s="63">
        <v>4606.29</v>
      </c>
      <c r="G192" s="63">
        <v>4588.2199999999993</v>
      </c>
      <c r="H192" s="63">
        <v>4570.2800000000007</v>
      </c>
      <c r="I192" s="63">
        <v>4448.7299999999996</v>
      </c>
      <c r="J192" s="63">
        <v>4382.04</v>
      </c>
      <c r="K192" s="63">
        <v>4301.4400000000005</v>
      </c>
      <c r="L192" s="63">
        <v>4301.4400000000005</v>
      </c>
      <c r="M192" s="63">
        <v>4270.1100000000015</v>
      </c>
      <c r="N192" s="63">
        <v>4239.17</v>
      </c>
      <c r="O192" s="63">
        <v>4223.83</v>
      </c>
      <c r="P192" s="63">
        <v>4208.619999999999</v>
      </c>
      <c r="Q192" s="3">
        <f t="shared" si="23"/>
        <v>52764.66</v>
      </c>
      <c r="R192" s="3">
        <v>1327709.98</v>
      </c>
      <c r="S192" s="39">
        <f>Q192/Summary!$Q$16</f>
        <v>6.6245452769325599E-4</v>
      </c>
      <c r="T192" s="35"/>
      <c r="U192" s="40" t="e">
        <f t="shared" si="13"/>
        <v>#DIV/0!</v>
      </c>
    </row>
    <row r="193" spans="1:21" s="3" customFormat="1" ht="25.4" customHeight="1">
      <c r="A193" s="3" t="s">
        <v>624</v>
      </c>
      <c r="B193" s="3" t="s">
        <v>1007</v>
      </c>
      <c r="D193" s="26" t="s">
        <v>349</v>
      </c>
      <c r="E193" s="63">
        <v>13692.25</v>
      </c>
      <c r="F193" s="63">
        <v>13466.569999999996</v>
      </c>
      <c r="G193" s="63">
        <v>13290.680000000004</v>
      </c>
      <c r="H193" s="63">
        <v>13350.739999999994</v>
      </c>
      <c r="I193" s="63">
        <v>13080.209999999995</v>
      </c>
      <c r="J193" s="63">
        <v>12851.930000000004</v>
      </c>
      <c r="K193" s="63">
        <v>12748.189999999995</v>
      </c>
      <c r="L193" s="63">
        <v>12771.459999999995</v>
      </c>
      <c r="M193" s="63">
        <v>12823.2</v>
      </c>
      <c r="N193" s="63">
        <v>12918.229999999992</v>
      </c>
      <c r="O193" s="63">
        <v>12760.540000000005</v>
      </c>
      <c r="P193" s="63">
        <v>12719.459999999995</v>
      </c>
      <c r="Q193" s="3">
        <f t="shared" si="23"/>
        <v>156473.45999999996</v>
      </c>
      <c r="R193" s="3">
        <v>460793.89</v>
      </c>
      <c r="S193" s="39">
        <f>Q193/Summary!$Q$16</f>
        <v>1.9645071538569479E-3</v>
      </c>
      <c r="T193" s="35"/>
      <c r="U193" s="40" t="e">
        <f t="shared" si="13"/>
        <v>#DIV/0!</v>
      </c>
    </row>
    <row r="194" spans="1:21" s="3" customFormat="1" ht="25.4" customHeight="1">
      <c r="A194" s="54"/>
      <c r="B194" s="51"/>
      <c r="D194" s="19" t="s">
        <v>350</v>
      </c>
      <c r="E194" s="52">
        <f>SUM(E187:E193)</f>
        <v>19096.739999999998</v>
      </c>
      <c r="F194" s="52">
        <f t="shared" ref="F194:P194" si="24">SUM(F187:F193)</f>
        <v>19112.859999999997</v>
      </c>
      <c r="G194" s="52">
        <f t="shared" si="24"/>
        <v>18658.900000000001</v>
      </c>
      <c r="H194" s="52">
        <f t="shared" si="24"/>
        <v>18701.019999999997</v>
      </c>
      <c r="I194" s="52">
        <f t="shared" si="24"/>
        <v>18308.939999999995</v>
      </c>
      <c r="J194" s="52">
        <f t="shared" si="24"/>
        <v>18013.970000000005</v>
      </c>
      <c r="K194" s="52">
        <f t="shared" si="24"/>
        <v>17829.629999999997</v>
      </c>
      <c r="L194" s="52">
        <f t="shared" si="24"/>
        <v>17852.899999999994</v>
      </c>
      <c r="M194" s="52">
        <f t="shared" si="24"/>
        <v>17873.310000000001</v>
      </c>
      <c r="N194" s="52">
        <f t="shared" si="24"/>
        <v>17937.399999999994</v>
      </c>
      <c r="O194" s="52">
        <f t="shared" si="24"/>
        <v>17764.370000000003</v>
      </c>
      <c r="P194" s="52">
        <f t="shared" si="24"/>
        <v>17708.079999999994</v>
      </c>
      <c r="Q194" s="52">
        <f t="shared" ref="Q194" si="25">SUM(Q187:Q193)</f>
        <v>218858.11999999997</v>
      </c>
      <c r="R194" s="52">
        <v>2089923.34</v>
      </c>
      <c r="S194" s="39">
        <f>Q194/Summary!$Q$16</f>
        <v>2.747739728000406E-3</v>
      </c>
      <c r="T194" s="35"/>
      <c r="U194" s="40" t="e">
        <f t="shared" si="13"/>
        <v>#DIV/0!</v>
      </c>
    </row>
    <row r="195" spans="1:21" s="3" customFormat="1" ht="25.4" customHeight="1">
      <c r="A195" s="54"/>
      <c r="B195" s="51"/>
      <c r="D195" s="19" t="s">
        <v>351</v>
      </c>
      <c r="E195" s="52">
        <f>E166+E175+E185+E194</f>
        <v>217211.33999999997</v>
      </c>
      <c r="F195" s="52">
        <f t="shared" ref="F195:P195" si="26">F166+F175+F185+F194</f>
        <v>200930.22999999998</v>
      </c>
      <c r="G195" s="52">
        <f t="shared" si="26"/>
        <v>200395.06000000003</v>
      </c>
      <c r="H195" s="52">
        <f t="shared" si="26"/>
        <v>205322.81999999998</v>
      </c>
      <c r="I195" s="52">
        <f t="shared" si="26"/>
        <v>208044.46000000002</v>
      </c>
      <c r="J195" s="52">
        <f t="shared" si="26"/>
        <v>199547.63000000003</v>
      </c>
      <c r="K195" s="52">
        <f t="shared" si="26"/>
        <v>199315.41999999998</v>
      </c>
      <c r="L195" s="52">
        <f t="shared" si="26"/>
        <v>199349.43999999997</v>
      </c>
      <c r="M195" s="52">
        <f t="shared" si="26"/>
        <v>199393.74</v>
      </c>
      <c r="N195" s="52">
        <f t="shared" si="26"/>
        <v>215694.77</v>
      </c>
      <c r="O195" s="52">
        <f t="shared" si="26"/>
        <v>199255.83000000002</v>
      </c>
      <c r="P195" s="52">
        <f t="shared" si="26"/>
        <v>199180.61999999997</v>
      </c>
      <c r="Q195" s="52">
        <f t="shared" ref="Q195" si="27">Q166+Q175+Q185+Q194</f>
        <v>2443641.36</v>
      </c>
      <c r="R195" s="52">
        <v>8988613.5600000005</v>
      </c>
      <c r="S195" s="39">
        <f>Q195/Summary!$Q$16</f>
        <v>3.0679649655479736E-2</v>
      </c>
      <c r="T195" s="35"/>
      <c r="U195" s="40" t="e">
        <f t="shared" si="13"/>
        <v>#DIV/0!</v>
      </c>
    </row>
    <row r="196" spans="1:21" s="3" customFormat="1" ht="25.4" customHeight="1">
      <c r="A196" s="54"/>
      <c r="B196" s="51"/>
      <c r="D196" s="21"/>
      <c r="E196" s="53"/>
      <c r="F196" s="53"/>
      <c r="G196" s="53"/>
      <c r="H196" s="53"/>
      <c r="I196" s="53"/>
      <c r="Q196" s="3">
        <f>Q195-Q174</f>
        <v>1651422.73</v>
      </c>
      <c r="T196" s="35"/>
      <c r="U196" s="40"/>
    </row>
    <row r="197" spans="1:21" s="3" customFormat="1" ht="25.4" customHeight="1">
      <c r="A197" s="50" t="s">
        <v>108</v>
      </c>
      <c r="B197" s="3" t="s">
        <v>1007</v>
      </c>
      <c r="D197" s="19" t="s">
        <v>354</v>
      </c>
      <c r="E197" s="278">
        <v>19</v>
      </c>
      <c r="F197" s="278">
        <v>19</v>
      </c>
      <c r="G197" s="278">
        <v>19</v>
      </c>
      <c r="H197" s="278">
        <v>19</v>
      </c>
      <c r="I197" s="278">
        <v>19</v>
      </c>
      <c r="J197" s="278">
        <v>19</v>
      </c>
      <c r="K197" s="278">
        <v>19</v>
      </c>
      <c r="L197" s="278">
        <v>19</v>
      </c>
      <c r="M197" s="278">
        <v>19</v>
      </c>
      <c r="N197" s="278">
        <v>19</v>
      </c>
      <c r="O197" s="278">
        <v>19</v>
      </c>
      <c r="P197" s="278">
        <v>19</v>
      </c>
      <c r="Q197" s="78">
        <f>SUM(E197:P197)/12</f>
        <v>19</v>
      </c>
      <c r="R197" s="79">
        <v>43</v>
      </c>
      <c r="T197" s="35"/>
      <c r="U197" s="40" t="e">
        <f t="shared" si="13"/>
        <v>#DIV/0!</v>
      </c>
    </row>
  </sheetData>
  <autoFilter ref="Q1:Q197"/>
  <phoneticPr fontId="56" type="noConversion"/>
  <dataValidations count="33">
    <dataValidation type="textLength" errorStyle="information" allowBlank="1" showInputMessage="1" showErrorMessage="1" error="XLBVal:6=3239.86_x000d__x000a_" sqref="E159:R159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error="XLBVal:6=1462.88_x000d__x000a_" sqref="E70:P70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2=0_x000d__x000a_" sqref="R12 R160 Q193 R197 F13:F14 R177:R184 R187:R193 R168:R174 Q164:R165 P72:P78 E184:P184 F71:P71 E187:Q192 E171:P174 Q15:R157 P80:P157 E15:P22 E24:P25 E71:E157 F72:O157">
      <formula1>0</formula1>
      <formula2>300</formula2>
    </dataValidation>
    <dataValidation type="textLength" errorStyle="information" allowBlank="1" showInputMessage="1" showErrorMessage="1" error="XLBVal:6=0_x000d__x000a_" sqref="E158:R158">
      <formula1>0</formula1>
      <formula2>300</formula2>
    </dataValidation>
    <dataValidation type="textLength" errorStyle="information" allowBlank="1" showInputMessage="1" showErrorMessage="1" error="XLBVal:6=169013_x000d__x000a_" sqref="Q168:Q174">
      <formula1>0</formula1>
      <formula2>300</formula2>
    </dataValidation>
    <dataValidation type="textLength" errorStyle="information" allowBlank="1" showInputMessage="1" showErrorMessage="1" error="XLBVal:6=52728.57_x000d__x000a_" sqref="P79 E23:P23 E26:P69">
      <formula1>0</formula1>
      <formula2>300</formula2>
    </dataValidation>
    <dataValidation type="textLength" errorStyle="information" allowBlank="1" showInputMessage="1" showErrorMessage="1" error="XLBVal:6=178111.05_x000d__x000a_" sqref="E160:P160">
      <formula1>0</formula1>
      <formula2>300</formula2>
    </dataValidation>
    <dataValidation type="textLength" errorStyle="information" allowBlank="1" showInputMessage="1" showErrorMessage="1" error="XLBVal:6=3678_x000d__x000a_" sqref="F186:G186 F185:R185 E185:E186">
      <formula1>0</formula1>
      <formula2>300</formula2>
    </dataValidation>
    <dataValidation type="textLength" errorStyle="information" allowBlank="1" showInputMessage="1" showErrorMessage="1" sqref="F194:R195 H186:I186 E162:I163 F196:I196 H176:I176 E194:E196">
      <formula1>0</formula1>
      <formula2>300</formula2>
    </dataValidation>
    <dataValidation type="textLength" errorStyle="information" allowBlank="1" showInputMessage="1" showErrorMessage="1" error="XLBVal:6=1260_x000d__x000a_" sqref="Q197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6595485.04_x000d__x000a_" sqref="G13:G14 H14:P14">
      <formula1>0</formula1>
      <formula2>300</formula2>
    </dataValidation>
    <dataValidation type="textLength" errorStyle="information" allowBlank="1" showInputMessage="1" showErrorMessage="1" error="XLBVal:5=-2586288.67_x000d__x000a_" sqref="H13">
      <formula1>0</formula1>
      <formula2>300</formula2>
    </dataValidation>
    <dataValidation type="textLength" errorStyle="information" allowBlank="1" showInputMessage="1" showErrorMessage="1" error="XLBVal:5=15426.66_x000d__x000a_" sqref="I13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1128.56_x000d__x000a_" sqref="E183:P183">
      <formula1>0</formula1>
      <formula2>300</formula2>
    </dataValidation>
    <dataValidation type="textLength" errorStyle="information" allowBlank="1" showInputMessage="1" showErrorMessage="1" error="XLBVal:6=441.03_x000d__x000a_" sqref="E181:P181">
      <formula1>0</formula1>
      <formula2>300</formula2>
    </dataValidation>
    <dataValidation type="textLength" errorStyle="information" allowBlank="1" showInputMessage="1" showErrorMessage="1" error="XLBVal:6=11_x000d__x000a_" sqref="E197:P197">
      <formula1>0</formula1>
      <formula2>300</formula2>
    </dataValidation>
    <dataValidation type="textLength" errorStyle="information" allowBlank="1" showInputMessage="1" showErrorMessage="1" error="XLBVal:6=4171_x000d__x000a_" sqref="E193:P193">
      <formula1>0</formula1>
      <formula2>300</formula2>
    </dataValidation>
    <dataValidation type="textLength" errorStyle="information" allowBlank="1" showInputMessage="1" showErrorMessage="1" error="XLBVal:6=610_x000d__x000a_" sqref="E170:P170">
      <formula1>0</formula1>
      <formula2>300</formula2>
    </dataValidation>
    <dataValidation type="textLength" errorStyle="information" allowBlank="1" showInputMessage="1" showErrorMessage="1" error="XLBVal:6=5497_x000d__x000a_" sqref="E182:P182">
      <formula1>0</formula1>
      <formula2>300</formula2>
    </dataValidation>
    <dataValidation type="textLength" errorStyle="information" allowBlank="1" showInputMessage="1" showErrorMessage="1" error="XLBVal:6=226.2_x000d__x000a_" sqref="E180:P180">
      <formula1>0</formula1>
      <formula2>300</formula2>
    </dataValidation>
    <dataValidation type="textLength" errorStyle="information" allowBlank="1" showInputMessage="1" showErrorMessage="1" error="XLBVal:6=282.72_x000d__x000a_" sqref="E179:P179">
      <formula1>0</formula1>
      <formula2>300</formula2>
    </dataValidation>
    <dataValidation type="textLength" errorStyle="information" allowBlank="1" showInputMessage="1" showErrorMessage="1" error="XLBVal:6=4410.24_x000d__x000a_" sqref="E178:P178">
      <formula1>0</formula1>
      <formula2>300</formula2>
    </dataValidation>
    <dataValidation type="textLength" errorStyle="information" allowBlank="1" showInputMessage="1" showErrorMessage="1" error="XLBVal:6=9046.88_x000d__x000a_" sqref="E177:P177">
      <formula1>0</formula1>
      <formula2>300</formula2>
    </dataValidation>
    <dataValidation type="textLength" errorStyle="information" allowBlank="1" showInputMessage="1" showErrorMessage="1" error="XLBVal:6=2844.82_x000d__x000a_" sqref="E168:P168">
      <formula1>0</formula1>
      <formula2>300</formula2>
    </dataValidation>
    <dataValidation type="textLength" errorStyle="information" allowBlank="1" showInputMessage="1" showErrorMessage="1" error="XLBVal:6=32973.56_x000d__x000a_" sqref="E165:P165">
      <formula1>0</formula1>
      <formula2>300</formula2>
    </dataValidation>
    <dataValidation type="textLength" errorStyle="information" allowBlank="1" showInputMessage="1" showErrorMessage="1" error="XLBVal:6=20000_x000d__x000a_" sqref="E164:P164">
      <formula1>0</formula1>
      <formula2>300</formula2>
    </dataValidation>
    <dataValidation type="textLength" errorStyle="information" allowBlank="1" showInputMessage="1" showErrorMessage="1" error="XLBVal:6=4508.33_x000d__x000a_" sqref="E169:P16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45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U228"/>
  <sheetViews>
    <sheetView zoomScale="50" zoomScaleNormal="50" zoomScaleSheetLayoutView="40" workbookViewId="0">
      <pane xSplit="4" ySplit="12" topLeftCell="E13" activePane="bottomRight" state="frozen"/>
      <selection activeCell="N90" sqref="N90"/>
      <selection pane="topRight" activeCell="N90" sqref="N90"/>
      <selection pane="bottomLeft" activeCell="N90" sqref="N90"/>
      <selection pane="bottomRight" activeCell="E70" sqref="E70:P70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0.453125" style="6" customWidth="1" collapsed="1"/>
    <col min="5" max="5" width="22.08984375" style="7" customWidth="1"/>
    <col min="6" max="6" width="23.90625" style="7" customWidth="1"/>
    <col min="7" max="7" width="25.08984375" style="7" customWidth="1"/>
    <col min="8" max="8" width="24.08984375" style="7" customWidth="1"/>
    <col min="9" max="9" width="18.453125" style="7" customWidth="1"/>
    <col min="10" max="10" width="18.08984375" style="5" customWidth="1"/>
    <col min="11" max="12" width="19.90625" style="5" customWidth="1"/>
    <col min="13" max="16" width="20.90625" style="5" customWidth="1"/>
    <col min="17" max="17" width="29.36328125" style="5" customWidth="1"/>
    <col min="18" max="18" width="12" style="5" customWidth="1"/>
    <col min="19" max="19" width="22.453125" style="8" hidden="1" customWidth="1"/>
    <col min="20" max="20" width="22.453125" style="5" hidden="1" customWidth="1"/>
    <col min="21" max="21" width="42.08984375" style="3" customWidth="1"/>
    <col min="22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S1" s="32"/>
      <c r="U1" s="288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S2" s="32"/>
      <c r="U2" s="288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32"/>
      <c r="U3" s="288"/>
    </row>
    <row r="4" spans="1:21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S4" s="33"/>
      <c r="U4" s="3"/>
    </row>
    <row r="5" spans="1:21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S5" s="33"/>
      <c r="U5" s="3"/>
    </row>
    <row r="6" spans="1:21" s="2" customFormat="1" ht="25.4" customHeight="1">
      <c r="D6" s="14" t="s">
        <v>1008</v>
      </c>
      <c r="E6" s="13"/>
      <c r="F6" s="13"/>
      <c r="G6" s="13"/>
      <c r="H6" s="13"/>
      <c r="I6" s="13"/>
      <c r="S6" s="33"/>
      <c r="U6" s="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S7" s="33"/>
      <c r="U7" s="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6" t="s">
        <v>23</v>
      </c>
      <c r="T10" s="37" t="s">
        <v>24</v>
      </c>
    </row>
    <row r="11" spans="1:21" s="3" customFormat="1" ht="25.4" customHeight="1">
      <c r="D11" s="21"/>
      <c r="E11" s="22"/>
      <c r="F11" s="22"/>
      <c r="G11" s="22"/>
      <c r="H11" s="23"/>
      <c r="I11" s="23"/>
      <c r="S11" s="35"/>
    </row>
    <row r="12" spans="1:21" s="3" customFormat="1" ht="25.4" customHeight="1">
      <c r="A12" s="3" t="s">
        <v>466</v>
      </c>
      <c r="B12" s="3" t="s">
        <v>1009</v>
      </c>
      <c r="D12" s="21" t="s">
        <v>139</v>
      </c>
      <c r="E12" s="43">
        <f>+E195</f>
        <v>18150.23</v>
      </c>
      <c r="F12" s="43">
        <f t="shared" ref="F12:P12" si="0">+F195</f>
        <v>18151.47</v>
      </c>
      <c r="G12" s="43">
        <f t="shared" si="0"/>
        <v>18116.55</v>
      </c>
      <c r="H12" s="43">
        <f t="shared" si="0"/>
        <v>18119.79</v>
      </c>
      <c r="I12" s="43">
        <f t="shared" si="0"/>
        <v>18089.63</v>
      </c>
      <c r="J12" s="43">
        <f t="shared" si="0"/>
        <v>18066.939999999999</v>
      </c>
      <c r="K12" s="43">
        <f t="shared" si="0"/>
        <v>18052.759999999998</v>
      </c>
      <c r="L12" s="43">
        <f t="shared" si="0"/>
        <v>18054.55</v>
      </c>
      <c r="M12" s="43">
        <f t="shared" si="0"/>
        <v>18056.12</v>
      </c>
      <c r="N12" s="43">
        <f t="shared" si="0"/>
        <v>18061.05</v>
      </c>
      <c r="O12" s="43">
        <f t="shared" si="0"/>
        <v>18047.740000000002</v>
      </c>
      <c r="P12" s="43">
        <f t="shared" si="0"/>
        <v>18043.41</v>
      </c>
      <c r="Q12" s="43">
        <f>SUM(E12:P12)</f>
        <v>217010.24</v>
      </c>
      <c r="R12" s="76">
        <f>Q12/Summary!$Q$16</f>
        <v>2.7245397969739614E-3</v>
      </c>
      <c r="S12" s="35"/>
      <c r="T12" s="40" t="e">
        <f>-IF(Q12-S12=0,0,(Q12-S12)/S12)</f>
        <v>#DIV/0!</v>
      </c>
    </row>
    <row r="13" spans="1:21" s="3" customFormat="1" ht="25.4" customHeight="1">
      <c r="D13" s="26"/>
      <c r="E13" s="24"/>
      <c r="F13" s="24"/>
      <c r="G13" s="24"/>
      <c r="H13" s="25"/>
      <c r="I13" s="25"/>
      <c r="S13" s="35"/>
      <c r="T13" s="40"/>
    </row>
    <row r="14" spans="1:21" s="3" customFormat="1" ht="25.4" customHeight="1">
      <c r="D14" s="21" t="s">
        <v>140</v>
      </c>
      <c r="E14" s="24"/>
      <c r="F14" s="24"/>
      <c r="G14" s="24"/>
      <c r="H14" s="25"/>
      <c r="I14" s="25"/>
      <c r="S14" s="35"/>
      <c r="T14" s="40"/>
    </row>
    <row r="15" spans="1:21" s="3" customFormat="1" ht="25.4" hidden="1" customHeight="1">
      <c r="A15" s="3" t="s">
        <v>468</v>
      </c>
      <c r="B15" s="3" t="s">
        <v>1009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3">
        <f>SUM(E15:P15)</f>
        <v>0</v>
      </c>
      <c r="R15" s="39">
        <f>Q15/Summary!$Q$16</f>
        <v>0</v>
      </c>
      <c r="S15" s="35"/>
      <c r="T15" s="40">
        <f t="shared" ref="T15:T46" si="1">IF(Q15-S15=0,0,(Q15-S15)/S15)</f>
        <v>0</v>
      </c>
    </row>
    <row r="16" spans="1:21" s="3" customFormat="1" ht="25.4" hidden="1" customHeight="1">
      <c r="A16" s="3" t="s">
        <v>470</v>
      </c>
      <c r="B16" s="3" t="s">
        <v>1009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3">
        <f t="shared" ref="Q16:Q79" si="2">SUM(E16:P16)</f>
        <v>0</v>
      </c>
      <c r="R16" s="39">
        <f>Q16/Summary!$Q$16</f>
        <v>0</v>
      </c>
      <c r="S16" s="35"/>
      <c r="T16" s="40">
        <f t="shared" si="1"/>
        <v>0</v>
      </c>
    </row>
    <row r="17" spans="1:20" s="3" customFormat="1" ht="25.4" hidden="1" customHeight="1">
      <c r="A17" s="3" t="s">
        <v>472</v>
      </c>
      <c r="B17" s="3" t="s">
        <v>1009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3">
        <f t="shared" si="2"/>
        <v>0</v>
      </c>
      <c r="R17" s="39">
        <f>Q17/Summary!$Q$16</f>
        <v>0</v>
      </c>
      <c r="S17" s="35"/>
      <c r="T17" s="40">
        <f t="shared" si="1"/>
        <v>0</v>
      </c>
    </row>
    <row r="18" spans="1:20" s="3" customFormat="1" ht="25.4" hidden="1" customHeight="1">
      <c r="A18" s="3" t="s">
        <v>474</v>
      </c>
      <c r="B18" s="3" t="s">
        <v>1009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3">
        <f t="shared" si="2"/>
        <v>0</v>
      </c>
      <c r="R18" s="39">
        <f>Q18/Summary!$Q$16</f>
        <v>0</v>
      </c>
      <c r="S18" s="35"/>
      <c r="T18" s="40">
        <f t="shared" si="1"/>
        <v>0</v>
      </c>
    </row>
    <row r="19" spans="1:20" s="3" customFormat="1" ht="25.4" hidden="1" customHeight="1">
      <c r="A19" s="3" t="s">
        <v>476</v>
      </c>
      <c r="B19" s="3" t="s">
        <v>1009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3">
        <f t="shared" si="2"/>
        <v>0</v>
      </c>
      <c r="R19" s="39">
        <f>Q19/Summary!$Q$16</f>
        <v>0</v>
      </c>
      <c r="S19" s="35"/>
      <c r="T19" s="40">
        <f t="shared" si="1"/>
        <v>0</v>
      </c>
    </row>
    <row r="20" spans="1:20" s="3" customFormat="1" ht="25.4" hidden="1" customHeight="1">
      <c r="A20" s="3" t="s">
        <v>478</v>
      </c>
      <c r="B20" s="3" t="s">
        <v>1009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3">
        <f t="shared" si="2"/>
        <v>0</v>
      </c>
      <c r="R20" s="39">
        <f>Q20/Summary!$Q$16</f>
        <v>0</v>
      </c>
      <c r="S20" s="35"/>
      <c r="T20" s="40">
        <f t="shared" si="1"/>
        <v>0</v>
      </c>
    </row>
    <row r="21" spans="1:20" s="3" customFormat="1" ht="25.4" hidden="1" customHeight="1">
      <c r="A21" s="3" t="s">
        <v>480</v>
      </c>
      <c r="B21" s="3" t="s">
        <v>1009</v>
      </c>
      <c r="D21" s="26" t="s">
        <v>481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3">
        <f t="shared" si="2"/>
        <v>0</v>
      </c>
      <c r="R21" s="39">
        <f>Q21/Summary!$Q$16</f>
        <v>0</v>
      </c>
      <c r="S21" s="35"/>
      <c r="T21" s="40">
        <f t="shared" si="1"/>
        <v>0</v>
      </c>
    </row>
    <row r="22" spans="1:20" s="3" customFormat="1" ht="25.4" hidden="1" customHeight="1">
      <c r="A22" s="3" t="s">
        <v>482</v>
      </c>
      <c r="B22" s="3" t="s">
        <v>1009</v>
      </c>
      <c r="D22" s="29" t="s">
        <v>483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3">
        <f t="shared" si="2"/>
        <v>0</v>
      </c>
      <c r="R22" s="39">
        <f>Q22/Summary!$Q$16</f>
        <v>0</v>
      </c>
      <c r="S22" s="35"/>
      <c r="T22" s="40">
        <f t="shared" si="1"/>
        <v>0</v>
      </c>
    </row>
    <row r="23" spans="1:20" s="3" customFormat="1" ht="25.4" hidden="1" customHeight="1">
      <c r="A23" s="3" t="s">
        <v>484</v>
      </c>
      <c r="B23" s="3" t="s">
        <v>1009</v>
      </c>
      <c r="D23" s="26" t="s">
        <v>485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3">
        <f t="shared" si="2"/>
        <v>0</v>
      </c>
      <c r="R23" s="39">
        <f>Q23/Summary!$Q$16</f>
        <v>0</v>
      </c>
      <c r="S23" s="35"/>
      <c r="T23" s="40">
        <f t="shared" si="1"/>
        <v>0</v>
      </c>
    </row>
    <row r="24" spans="1:20" s="3" customFormat="1" ht="25.4" hidden="1" customHeight="1">
      <c r="A24" s="3" t="s">
        <v>486</v>
      </c>
      <c r="B24" s="3" t="s">
        <v>1009</v>
      </c>
      <c r="D24" s="26" t="s">
        <v>487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3">
        <f t="shared" si="2"/>
        <v>0</v>
      </c>
      <c r="R24" s="39">
        <f>Q24/Summary!$Q$16</f>
        <v>0</v>
      </c>
      <c r="S24" s="35"/>
      <c r="T24" s="40">
        <f t="shared" si="1"/>
        <v>0</v>
      </c>
    </row>
    <row r="25" spans="1:20" s="3" customFormat="1" ht="25.4" hidden="1" customHeight="1">
      <c r="A25" s="3" t="s">
        <v>488</v>
      </c>
      <c r="B25" s="3" t="s">
        <v>1009</v>
      </c>
      <c r="D25" s="26" t="s">
        <v>489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3">
        <f t="shared" si="2"/>
        <v>0</v>
      </c>
      <c r="R25" s="39">
        <f>Q25/Summary!$Q$16</f>
        <v>0</v>
      </c>
      <c r="S25" s="35"/>
      <c r="T25" s="40">
        <f t="shared" si="1"/>
        <v>0</v>
      </c>
    </row>
    <row r="26" spans="1:20" s="3" customFormat="1" ht="25.4" hidden="1" customHeight="1">
      <c r="A26" s="3" t="s">
        <v>490</v>
      </c>
      <c r="B26" s="3" t="s">
        <v>1009</v>
      </c>
      <c r="D26" s="26" t="s">
        <v>491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3">
        <f t="shared" si="2"/>
        <v>0</v>
      </c>
      <c r="R26" s="39">
        <f>Q26/Summary!$Q$16</f>
        <v>0</v>
      </c>
      <c r="S26" s="35"/>
      <c r="T26" s="40">
        <f t="shared" si="1"/>
        <v>0</v>
      </c>
    </row>
    <row r="27" spans="1:20" s="3" customFormat="1" ht="25.4" hidden="1" customHeight="1">
      <c r="A27" s="3" t="s">
        <v>492</v>
      </c>
      <c r="B27" s="3" t="s">
        <v>1009</v>
      </c>
      <c r="D27" s="26" t="s">
        <v>493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3">
        <f t="shared" si="2"/>
        <v>0</v>
      </c>
      <c r="R27" s="39">
        <f>Q27/Summary!$Q$16</f>
        <v>0</v>
      </c>
      <c r="S27" s="35"/>
      <c r="T27" s="40">
        <f t="shared" si="1"/>
        <v>0</v>
      </c>
    </row>
    <row r="28" spans="1:20" s="3" customFormat="1" ht="25.4" hidden="1" customHeight="1">
      <c r="A28" s="3" t="s">
        <v>494</v>
      </c>
      <c r="B28" s="3" t="s">
        <v>1009</v>
      </c>
      <c r="D28" s="26" t="s">
        <v>495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3">
        <f t="shared" si="2"/>
        <v>0</v>
      </c>
      <c r="R28" s="39">
        <f>Q28/Summary!$Q$16</f>
        <v>0</v>
      </c>
      <c r="S28" s="35"/>
      <c r="T28" s="40">
        <f t="shared" si="1"/>
        <v>0</v>
      </c>
    </row>
    <row r="29" spans="1:20" s="3" customFormat="1" ht="25.4" hidden="1" customHeight="1">
      <c r="A29" s="3" t="s">
        <v>496</v>
      </c>
      <c r="B29" s="3" t="s">
        <v>1009</v>
      </c>
      <c r="D29" s="26" t="s">
        <v>171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3">
        <f t="shared" si="2"/>
        <v>0</v>
      </c>
      <c r="R29" s="39">
        <f>Q29/Summary!$Q$16</f>
        <v>0</v>
      </c>
      <c r="S29" s="35"/>
      <c r="T29" s="40">
        <f t="shared" si="1"/>
        <v>0</v>
      </c>
    </row>
    <row r="30" spans="1:20" s="3" customFormat="1" ht="25.4" hidden="1" customHeight="1">
      <c r="A30" s="3" t="s">
        <v>497</v>
      </c>
      <c r="B30" s="3" t="s">
        <v>1009</v>
      </c>
      <c r="D30" s="26" t="s">
        <v>173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3">
        <f t="shared" si="2"/>
        <v>0</v>
      </c>
      <c r="R30" s="39">
        <f>Q30/Summary!$Q$16</f>
        <v>0</v>
      </c>
      <c r="S30" s="35"/>
      <c r="T30" s="40">
        <f t="shared" si="1"/>
        <v>0</v>
      </c>
    </row>
    <row r="31" spans="1:20" s="3" customFormat="1" ht="25.4" hidden="1" customHeight="1">
      <c r="A31" s="3" t="s">
        <v>498</v>
      </c>
      <c r="B31" s="3" t="s">
        <v>1009</v>
      </c>
      <c r="D31" s="26" t="s">
        <v>499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3">
        <f t="shared" si="2"/>
        <v>0</v>
      </c>
      <c r="R31" s="39">
        <f>Q31/Summary!$Q$16</f>
        <v>0</v>
      </c>
      <c r="S31" s="35"/>
      <c r="T31" s="40">
        <f t="shared" si="1"/>
        <v>0</v>
      </c>
    </row>
    <row r="32" spans="1:20" s="3" customFormat="1" ht="25.4" hidden="1" customHeight="1">
      <c r="A32" s="3" t="s">
        <v>500</v>
      </c>
      <c r="B32" s="3" t="s">
        <v>1009</v>
      </c>
      <c r="D32" s="26" t="s">
        <v>501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3">
        <f t="shared" si="2"/>
        <v>0</v>
      </c>
      <c r="R32" s="39">
        <f>Q32/Summary!$Q$16</f>
        <v>0</v>
      </c>
      <c r="S32" s="35"/>
      <c r="T32" s="40">
        <f t="shared" si="1"/>
        <v>0</v>
      </c>
    </row>
    <row r="33" spans="1:20" s="3" customFormat="1" ht="25.4" hidden="1" customHeight="1">
      <c r="A33" s="3" t="s">
        <v>502</v>
      </c>
      <c r="B33" s="3" t="s">
        <v>1009</v>
      </c>
      <c r="D33" s="26" t="s">
        <v>503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3">
        <f t="shared" si="2"/>
        <v>0</v>
      </c>
      <c r="R33" s="39">
        <f>Q33/Summary!$Q$16</f>
        <v>0</v>
      </c>
      <c r="S33" s="35"/>
      <c r="T33" s="40">
        <f t="shared" si="1"/>
        <v>0</v>
      </c>
    </row>
    <row r="34" spans="1:20" s="3" customFormat="1" ht="25.4" hidden="1" customHeight="1">
      <c r="A34" s="3" t="s">
        <v>504</v>
      </c>
      <c r="B34" s="3" t="s">
        <v>1009</v>
      </c>
      <c r="D34" s="26" t="s">
        <v>505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3">
        <f t="shared" si="2"/>
        <v>0</v>
      </c>
      <c r="R34" s="39">
        <f>Q34/Summary!$Q$16</f>
        <v>0</v>
      </c>
      <c r="S34" s="35"/>
      <c r="T34" s="40">
        <f t="shared" si="1"/>
        <v>0</v>
      </c>
    </row>
    <row r="35" spans="1:20" s="3" customFormat="1" ht="25.4" hidden="1" customHeight="1">
      <c r="A35" s="3" t="s">
        <v>506</v>
      </c>
      <c r="B35" s="3" t="s">
        <v>1009</v>
      </c>
      <c r="D35" s="26" t="s">
        <v>507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3">
        <f t="shared" si="2"/>
        <v>0</v>
      </c>
      <c r="R35" s="39">
        <f>Q35/Summary!$Q$16</f>
        <v>0</v>
      </c>
      <c r="S35" s="35"/>
      <c r="T35" s="40">
        <f t="shared" si="1"/>
        <v>0</v>
      </c>
    </row>
    <row r="36" spans="1:20" s="3" customFormat="1" ht="25.4" hidden="1" customHeight="1">
      <c r="A36" s="3" t="s">
        <v>508</v>
      </c>
      <c r="B36" s="3" t="s">
        <v>1009</v>
      </c>
      <c r="D36" s="26" t="s">
        <v>509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3">
        <f t="shared" si="2"/>
        <v>0</v>
      </c>
      <c r="R36" s="39">
        <f>Q36/Summary!$Q$16</f>
        <v>0</v>
      </c>
      <c r="S36" s="35"/>
      <c r="T36" s="40">
        <f t="shared" si="1"/>
        <v>0</v>
      </c>
    </row>
    <row r="37" spans="1:20" s="3" customFormat="1" ht="25.4" hidden="1" customHeight="1">
      <c r="A37" s="3" t="s">
        <v>510</v>
      </c>
      <c r="B37" s="3" t="s">
        <v>1009</v>
      </c>
      <c r="D37" s="26" t="s">
        <v>511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3">
        <f t="shared" si="2"/>
        <v>0</v>
      </c>
      <c r="R37" s="39">
        <f>Q37/Summary!$Q$16</f>
        <v>0</v>
      </c>
      <c r="S37" s="35"/>
      <c r="T37" s="40">
        <f t="shared" si="1"/>
        <v>0</v>
      </c>
    </row>
    <row r="38" spans="1:20" s="3" customFormat="1" ht="25.4" hidden="1" customHeight="1">
      <c r="A38" s="3" t="s">
        <v>512</v>
      </c>
      <c r="B38" s="3" t="s">
        <v>1009</v>
      </c>
      <c r="D38" s="26" t="s">
        <v>513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3">
        <f t="shared" si="2"/>
        <v>0</v>
      </c>
      <c r="R38" s="39">
        <f>Q38/Summary!$Q$16</f>
        <v>0</v>
      </c>
      <c r="S38" s="35"/>
      <c r="T38" s="40">
        <f t="shared" si="1"/>
        <v>0</v>
      </c>
    </row>
    <row r="39" spans="1:20" s="3" customFormat="1" ht="25.4" hidden="1" customHeight="1">
      <c r="A39" s="3" t="s">
        <v>514</v>
      </c>
      <c r="B39" s="3" t="s">
        <v>1009</v>
      </c>
      <c r="D39" s="26" t="s">
        <v>515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3">
        <f t="shared" si="2"/>
        <v>0</v>
      </c>
      <c r="R39" s="39">
        <f>Q39/Summary!$Q$16</f>
        <v>0</v>
      </c>
      <c r="S39" s="35"/>
      <c r="T39" s="40">
        <f t="shared" si="1"/>
        <v>0</v>
      </c>
    </row>
    <row r="40" spans="1:20" s="3" customFormat="1" ht="25.4" hidden="1" customHeight="1">
      <c r="A40" s="3" t="s">
        <v>516</v>
      </c>
      <c r="B40" s="3" t="s">
        <v>1009</v>
      </c>
      <c r="D40" s="26" t="s">
        <v>517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3">
        <f t="shared" si="2"/>
        <v>0</v>
      </c>
      <c r="R40" s="39">
        <f>Q40/Summary!$Q$16</f>
        <v>0</v>
      </c>
      <c r="S40" s="35"/>
      <c r="T40" s="40">
        <f t="shared" si="1"/>
        <v>0</v>
      </c>
    </row>
    <row r="41" spans="1:20" s="3" customFormat="1" ht="25.4" hidden="1" customHeight="1">
      <c r="A41" s="3" t="s">
        <v>518</v>
      </c>
      <c r="B41" s="3" t="s">
        <v>1009</v>
      </c>
      <c r="D41" s="26" t="s">
        <v>519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3">
        <f t="shared" si="2"/>
        <v>0</v>
      </c>
      <c r="R41" s="39">
        <f>Q41/Summary!$Q$16</f>
        <v>0</v>
      </c>
      <c r="S41" s="35"/>
      <c r="T41" s="40">
        <f t="shared" si="1"/>
        <v>0</v>
      </c>
    </row>
    <row r="42" spans="1:20" s="3" customFormat="1" ht="25.4" customHeight="1">
      <c r="A42" s="3" t="s">
        <v>520</v>
      </c>
      <c r="B42" s="3" t="s">
        <v>1009</v>
      </c>
      <c r="D42" s="26" t="s">
        <v>521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3">
        <f t="shared" si="2"/>
        <v>0</v>
      </c>
      <c r="R42" s="39">
        <f>Q42/Summary!$Q$16</f>
        <v>0</v>
      </c>
      <c r="S42" s="35"/>
      <c r="T42" s="40">
        <f t="shared" si="1"/>
        <v>0</v>
      </c>
    </row>
    <row r="43" spans="1:20" s="3" customFormat="1" ht="25.4" customHeight="1">
      <c r="A43" s="3" t="s">
        <v>522</v>
      </c>
      <c r="B43" s="3" t="s">
        <v>1009</v>
      </c>
      <c r="D43" s="26" t="s">
        <v>1203</v>
      </c>
      <c r="E43" s="27">
        <v>12</v>
      </c>
      <c r="F43" s="27">
        <v>12</v>
      </c>
      <c r="G43" s="27">
        <v>12</v>
      </c>
      <c r="H43" s="27">
        <v>12</v>
      </c>
      <c r="I43" s="27">
        <v>12</v>
      </c>
      <c r="J43" s="27">
        <v>12</v>
      </c>
      <c r="K43" s="27">
        <v>12</v>
      </c>
      <c r="L43" s="27">
        <v>12</v>
      </c>
      <c r="M43" s="27">
        <v>12</v>
      </c>
      <c r="N43" s="27">
        <v>12</v>
      </c>
      <c r="O43" s="27">
        <v>12</v>
      </c>
      <c r="P43" s="27">
        <v>12</v>
      </c>
      <c r="Q43" s="3">
        <f t="shared" si="2"/>
        <v>144</v>
      </c>
      <c r="R43" s="39">
        <f>Q43/Summary!$Q$16</f>
        <v>1.8079042296080151E-6</v>
      </c>
      <c r="S43" s="35"/>
      <c r="T43" s="40" t="e">
        <f t="shared" si="1"/>
        <v>#DIV/0!</v>
      </c>
    </row>
    <row r="44" spans="1:20" s="3" customFormat="1" ht="25.4" hidden="1" customHeight="1">
      <c r="A44" s="3" t="s">
        <v>524</v>
      </c>
      <c r="B44" s="3" t="s">
        <v>1009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>
        <f t="shared" si="2"/>
        <v>0</v>
      </c>
      <c r="R44" s="39">
        <f>Q44/Summary!$Q$16</f>
        <v>0</v>
      </c>
      <c r="S44" s="35"/>
      <c r="T44" s="40">
        <f t="shared" si="1"/>
        <v>0</v>
      </c>
    </row>
    <row r="45" spans="1:20" s="3" customFormat="1" ht="25.4" hidden="1" customHeight="1">
      <c r="A45" s="3" t="s">
        <v>526</v>
      </c>
      <c r="B45" s="3" t="s">
        <v>1009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>
        <f t="shared" si="2"/>
        <v>0</v>
      </c>
      <c r="R45" s="39">
        <f>Q45/Summary!$Q$16</f>
        <v>0</v>
      </c>
      <c r="S45" s="35"/>
      <c r="T45" s="40">
        <f t="shared" si="1"/>
        <v>0</v>
      </c>
    </row>
    <row r="46" spans="1:20" s="3" customFormat="1" ht="25.4" hidden="1" customHeight="1">
      <c r="A46" s="3" t="s">
        <v>528</v>
      </c>
      <c r="B46" s="3" t="s">
        <v>1009</v>
      </c>
      <c r="D46" s="29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>
        <f t="shared" si="2"/>
        <v>0</v>
      </c>
      <c r="R46" s="39">
        <f>Q46/Summary!$Q$16</f>
        <v>0</v>
      </c>
      <c r="S46" s="35"/>
      <c r="T46" s="40">
        <f t="shared" si="1"/>
        <v>0</v>
      </c>
    </row>
    <row r="47" spans="1:20" s="3" customFormat="1" ht="25.4" hidden="1" customHeight="1">
      <c r="A47" s="3" t="s">
        <v>530</v>
      </c>
      <c r="B47" s="3" t="s">
        <v>1009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>
        <f t="shared" si="2"/>
        <v>0</v>
      </c>
      <c r="R47" s="39">
        <f>Q47/Summary!$Q$16</f>
        <v>0</v>
      </c>
      <c r="S47" s="35"/>
      <c r="T47" s="40">
        <f t="shared" ref="T47:T68" si="3">IF(Q47-S47=0,0,(Q47-S47)/S47)</f>
        <v>0</v>
      </c>
    </row>
    <row r="48" spans="1:20" s="3" customFormat="1" ht="25.4" hidden="1" customHeight="1">
      <c r="A48" s="3" t="s">
        <v>532</v>
      </c>
      <c r="B48" s="3" t="s">
        <v>1009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>
        <f t="shared" si="2"/>
        <v>0</v>
      </c>
      <c r="R48" s="39">
        <f>Q48/Summary!$Q$16</f>
        <v>0</v>
      </c>
      <c r="S48" s="35"/>
      <c r="T48" s="40">
        <f t="shared" si="3"/>
        <v>0</v>
      </c>
    </row>
    <row r="49" spans="1:20" s="3" customFormat="1" ht="25.4" hidden="1" customHeight="1">
      <c r="A49" s="3" t="s">
        <v>534</v>
      </c>
      <c r="B49" s="3" t="s">
        <v>1009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>
        <f t="shared" si="2"/>
        <v>0</v>
      </c>
      <c r="R49" s="39">
        <f>Q49/Summary!$Q$16</f>
        <v>0</v>
      </c>
      <c r="S49" s="35"/>
      <c r="T49" s="40">
        <f t="shared" si="3"/>
        <v>0</v>
      </c>
    </row>
    <row r="50" spans="1:20" s="3" customFormat="1" ht="25.4" hidden="1" customHeight="1">
      <c r="A50" s="3" t="s">
        <v>536</v>
      </c>
      <c r="B50" s="3" t="s">
        <v>1009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>
        <f t="shared" si="2"/>
        <v>0</v>
      </c>
      <c r="R50" s="39">
        <f>Q50/Summary!$Q$16</f>
        <v>0</v>
      </c>
      <c r="S50" s="35"/>
      <c r="T50" s="40">
        <f t="shared" si="3"/>
        <v>0</v>
      </c>
    </row>
    <row r="51" spans="1:20" s="3" customFormat="1" ht="25.4" hidden="1" customHeight="1">
      <c r="A51" s="3" t="s">
        <v>538</v>
      </c>
      <c r="B51" s="3" t="s">
        <v>1009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>
        <f t="shared" si="2"/>
        <v>0</v>
      </c>
      <c r="R51" s="39">
        <f>Q51/Summary!$Q$16</f>
        <v>0</v>
      </c>
      <c r="S51" s="35"/>
      <c r="T51" s="40">
        <f t="shared" si="3"/>
        <v>0</v>
      </c>
    </row>
    <row r="52" spans="1:20" s="3" customFormat="1" ht="25.4" hidden="1" customHeight="1">
      <c r="A52" s="3" t="s">
        <v>540</v>
      </c>
      <c r="B52" s="3" t="s">
        <v>1009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>
        <f t="shared" si="2"/>
        <v>0</v>
      </c>
      <c r="R52" s="39">
        <f>Q52/Summary!$Q$16</f>
        <v>0</v>
      </c>
      <c r="S52" s="35"/>
      <c r="T52" s="40">
        <f t="shared" si="3"/>
        <v>0</v>
      </c>
    </row>
    <row r="53" spans="1:20" s="3" customFormat="1" ht="25.4" hidden="1" customHeight="1">
      <c r="A53" s="3" t="s">
        <v>542</v>
      </c>
      <c r="B53" s="3" t="s">
        <v>1009</v>
      </c>
      <c r="D53" s="29" t="s">
        <v>543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>
        <f t="shared" si="2"/>
        <v>0</v>
      </c>
      <c r="R53" s="39">
        <f>Q53/Summary!$Q$16</f>
        <v>0</v>
      </c>
      <c r="S53" s="35"/>
      <c r="T53" s="40">
        <f t="shared" si="3"/>
        <v>0</v>
      </c>
    </row>
    <row r="54" spans="1:20" s="3" customFormat="1" ht="25.4" hidden="1" customHeight="1">
      <c r="A54" s="3" t="s">
        <v>544</v>
      </c>
      <c r="B54" s="3" t="s">
        <v>1009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>
        <f t="shared" si="2"/>
        <v>0</v>
      </c>
      <c r="R54" s="39">
        <f>Q54/Summary!$Q$16</f>
        <v>0</v>
      </c>
      <c r="S54" s="35"/>
      <c r="T54" s="40">
        <f t="shared" si="3"/>
        <v>0</v>
      </c>
    </row>
    <row r="55" spans="1:20" s="3" customFormat="1" ht="25.4" hidden="1" customHeight="1">
      <c r="A55" s="3" t="s">
        <v>546</v>
      </c>
      <c r="B55" s="3" t="s">
        <v>1009</v>
      </c>
      <c r="D55" s="29" t="s">
        <v>547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>
        <f t="shared" si="2"/>
        <v>0</v>
      </c>
      <c r="R55" s="39">
        <f>Q55/Summary!$Q$16</f>
        <v>0</v>
      </c>
      <c r="S55" s="35"/>
      <c r="T55" s="40">
        <f t="shared" si="3"/>
        <v>0</v>
      </c>
    </row>
    <row r="56" spans="1:20" s="3" customFormat="1" ht="25.4" hidden="1" customHeight="1">
      <c r="A56" s="3" t="s">
        <v>548</v>
      </c>
      <c r="B56" s="3" t="s">
        <v>1009</v>
      </c>
      <c r="D56" s="26" t="s">
        <v>549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>
        <f t="shared" si="2"/>
        <v>0</v>
      </c>
      <c r="R56" s="39">
        <f>Q56/Summary!$Q$16</f>
        <v>0</v>
      </c>
      <c r="S56" s="35"/>
      <c r="T56" s="40">
        <f t="shared" si="3"/>
        <v>0</v>
      </c>
    </row>
    <row r="57" spans="1:20" s="3" customFormat="1" ht="25.4" hidden="1" customHeight="1">
      <c r="A57" s="3" t="s">
        <v>550</v>
      </c>
      <c r="B57" s="3" t="s">
        <v>1009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>
        <f t="shared" si="2"/>
        <v>0</v>
      </c>
      <c r="R57" s="39">
        <f>Q57/Summary!$Q$16</f>
        <v>0</v>
      </c>
      <c r="S57" s="35"/>
      <c r="T57" s="40">
        <f t="shared" si="3"/>
        <v>0</v>
      </c>
    </row>
    <row r="58" spans="1:20" s="3" customFormat="1" ht="25.4" hidden="1" customHeight="1">
      <c r="A58" s="3" t="s">
        <v>552</v>
      </c>
      <c r="B58" s="3" t="s">
        <v>1009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>
        <f t="shared" si="2"/>
        <v>0</v>
      </c>
      <c r="R58" s="39">
        <f>Q58/Summary!$Q$16</f>
        <v>0</v>
      </c>
      <c r="S58" s="35"/>
      <c r="T58" s="40">
        <f t="shared" si="3"/>
        <v>0</v>
      </c>
    </row>
    <row r="59" spans="1:20" s="3" customFormat="1" ht="25.4" hidden="1" customHeight="1">
      <c r="A59" s="3" t="s">
        <v>554</v>
      </c>
      <c r="B59" s="3" t="s">
        <v>1009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>
        <f t="shared" si="2"/>
        <v>0</v>
      </c>
      <c r="R59" s="39">
        <f>Q59/Summary!$Q$16</f>
        <v>0</v>
      </c>
      <c r="S59" s="35"/>
      <c r="T59" s="40">
        <f t="shared" si="3"/>
        <v>0</v>
      </c>
    </row>
    <row r="60" spans="1:20" s="3" customFormat="1" ht="25.4" hidden="1" customHeight="1">
      <c r="A60" s="3" t="s">
        <v>556</v>
      </c>
      <c r="B60" s="3" t="s">
        <v>1009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>
        <f t="shared" si="2"/>
        <v>0</v>
      </c>
      <c r="R60" s="39">
        <f>Q60/Summary!$Q$16</f>
        <v>0</v>
      </c>
      <c r="S60" s="35"/>
      <c r="T60" s="40">
        <f t="shared" si="3"/>
        <v>0</v>
      </c>
    </row>
    <row r="61" spans="1:20" s="3" customFormat="1" ht="25.4" hidden="1" customHeight="1">
      <c r="A61" s="3" t="s">
        <v>558</v>
      </c>
      <c r="B61" s="3" t="s">
        <v>1009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>
        <f t="shared" si="2"/>
        <v>0</v>
      </c>
      <c r="R61" s="39">
        <f>Q61/Summary!$Q$16</f>
        <v>0</v>
      </c>
      <c r="S61" s="35"/>
      <c r="T61" s="40">
        <f t="shared" si="3"/>
        <v>0</v>
      </c>
    </row>
    <row r="62" spans="1:20" s="3" customFormat="1" ht="25.4" hidden="1" customHeight="1">
      <c r="A62" s="3" t="s">
        <v>560</v>
      </c>
      <c r="B62" s="3" t="s">
        <v>1009</v>
      </c>
      <c r="D62" s="26" t="s">
        <v>561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>
        <f t="shared" si="2"/>
        <v>0</v>
      </c>
      <c r="R62" s="39">
        <f>Q62/Summary!$Q$16</f>
        <v>0</v>
      </c>
      <c r="S62" s="35"/>
      <c r="T62" s="40">
        <f t="shared" si="3"/>
        <v>0</v>
      </c>
    </row>
    <row r="63" spans="1:20" s="3" customFormat="1" ht="25.4" hidden="1" customHeight="1">
      <c r="A63" s="3" t="s">
        <v>562</v>
      </c>
      <c r="B63" s="3" t="s">
        <v>1009</v>
      </c>
      <c r="D63" s="26" t="s">
        <v>563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>
        <f t="shared" si="2"/>
        <v>0</v>
      </c>
      <c r="R63" s="39">
        <f>Q63/Summary!$Q$16</f>
        <v>0</v>
      </c>
      <c r="S63" s="35"/>
      <c r="T63" s="40">
        <f t="shared" si="3"/>
        <v>0</v>
      </c>
    </row>
    <row r="64" spans="1:20" s="3" customFormat="1" ht="25.4" hidden="1" customHeight="1">
      <c r="A64" s="3" t="s">
        <v>564</v>
      </c>
      <c r="B64" s="3" t="s">
        <v>1009</v>
      </c>
      <c r="D64" s="26" t="s">
        <v>565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>
        <f t="shared" si="2"/>
        <v>0</v>
      </c>
      <c r="R64" s="39">
        <f>Q64/Summary!$Q$16</f>
        <v>0</v>
      </c>
      <c r="S64" s="35"/>
      <c r="T64" s="40">
        <f t="shared" si="3"/>
        <v>0</v>
      </c>
    </row>
    <row r="65" spans="1:20" s="3" customFormat="1" ht="25.4" hidden="1" customHeight="1">
      <c r="A65" s="3" t="s">
        <v>566</v>
      </c>
      <c r="B65" s="3" t="s">
        <v>1009</v>
      </c>
      <c r="D65" s="26" t="s">
        <v>567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>
        <f t="shared" si="2"/>
        <v>0</v>
      </c>
      <c r="R65" s="39">
        <f>Q65/Summary!$Q$16</f>
        <v>0</v>
      </c>
      <c r="S65" s="35"/>
      <c r="T65" s="40">
        <f t="shared" si="3"/>
        <v>0</v>
      </c>
    </row>
    <row r="66" spans="1:20" s="3" customFormat="1" ht="25.4" hidden="1" customHeight="1">
      <c r="A66" s="3" t="s">
        <v>568</v>
      </c>
      <c r="B66" s="3" t="s">
        <v>1009</v>
      </c>
      <c r="D66" s="26" t="s">
        <v>569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>
        <f t="shared" si="2"/>
        <v>0</v>
      </c>
      <c r="R66" s="39">
        <f>Q66/Summary!$Q$16</f>
        <v>0</v>
      </c>
      <c r="S66" s="35"/>
      <c r="T66" s="40">
        <f t="shared" si="3"/>
        <v>0</v>
      </c>
    </row>
    <row r="67" spans="1:20" s="3" customFormat="1" ht="25.4" customHeight="1">
      <c r="A67" s="3" t="s">
        <v>570</v>
      </c>
      <c r="B67" s="3" t="s">
        <v>1009</v>
      </c>
      <c r="D67" s="26" t="s">
        <v>571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>
        <f t="shared" si="2"/>
        <v>0</v>
      </c>
      <c r="R67" s="39">
        <f>Q67/Summary!$Q$16</f>
        <v>0</v>
      </c>
      <c r="S67" s="35"/>
      <c r="T67" s="40">
        <f t="shared" si="3"/>
        <v>0</v>
      </c>
    </row>
    <row r="68" spans="1:20" s="3" customFormat="1" ht="25.4" customHeight="1">
      <c r="A68" s="3" t="s">
        <v>572</v>
      </c>
      <c r="B68" s="3" t="s">
        <v>1009</v>
      </c>
      <c r="D68" s="26" t="s">
        <v>573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3">
        <f t="shared" si="2"/>
        <v>0</v>
      </c>
      <c r="R68" s="39">
        <f>Q68/Summary!$Q$16</f>
        <v>0</v>
      </c>
      <c r="S68" s="35"/>
      <c r="T68" s="40">
        <f t="shared" si="3"/>
        <v>0</v>
      </c>
    </row>
    <row r="69" spans="1:20" s="3" customFormat="1" ht="25.4" customHeight="1">
      <c r="A69" s="3" t="s">
        <v>574</v>
      </c>
      <c r="B69" s="3" t="s">
        <v>1009</v>
      </c>
      <c r="D69" s="26" t="s">
        <v>575</v>
      </c>
      <c r="E69" s="27">
        <v>50</v>
      </c>
      <c r="F69" s="27">
        <v>50</v>
      </c>
      <c r="G69" s="27">
        <v>50</v>
      </c>
      <c r="H69" s="27">
        <v>50</v>
      </c>
      <c r="I69" s="27">
        <v>50</v>
      </c>
      <c r="J69" s="27">
        <v>50</v>
      </c>
      <c r="K69" s="27">
        <v>50</v>
      </c>
      <c r="L69" s="27">
        <v>50</v>
      </c>
      <c r="M69" s="27">
        <v>50</v>
      </c>
      <c r="N69" s="27">
        <v>50</v>
      </c>
      <c r="O69" s="27">
        <v>50</v>
      </c>
      <c r="P69" s="27">
        <v>50</v>
      </c>
      <c r="Q69" s="3">
        <f t="shared" si="2"/>
        <v>600</v>
      </c>
      <c r="R69" s="39">
        <f>Q69/Summary!$Q$16</f>
        <v>7.5329342900333968E-6</v>
      </c>
      <c r="S69" s="35"/>
      <c r="T69" s="40" t="e">
        <f t="shared" ref="T69:T100" si="4">-IF(Q69-S69=0,0,(Q69-S69)/S69)</f>
        <v>#DIV/0!</v>
      </c>
    </row>
    <row r="70" spans="1:20" s="3" customFormat="1" ht="25.4" customHeight="1">
      <c r="A70" s="3" t="s">
        <v>576</v>
      </c>
      <c r="B70" s="3" t="s">
        <v>1009</v>
      </c>
      <c r="D70" s="26" t="s">
        <v>1234</v>
      </c>
      <c r="E70" s="27">
        <v>292.3</v>
      </c>
      <c r="F70" s="27">
        <v>257.02999999999997</v>
      </c>
      <c r="G70" s="27">
        <v>250.41</v>
      </c>
      <c r="H70" s="27">
        <v>256.76</v>
      </c>
      <c r="I70" s="27">
        <v>252.85</v>
      </c>
      <c r="J70" s="27">
        <v>232.88</v>
      </c>
      <c r="K70" s="27">
        <v>226.33</v>
      </c>
      <c r="L70" s="27">
        <v>227.13</v>
      </c>
      <c r="M70" s="27">
        <v>231.79</v>
      </c>
      <c r="N70" s="27">
        <v>250.73</v>
      </c>
      <c r="O70" s="27">
        <v>224.71</v>
      </c>
      <c r="P70" s="27">
        <v>222.4</v>
      </c>
      <c r="Q70" s="3">
        <f t="shared" si="2"/>
        <v>2925.32</v>
      </c>
      <c r="R70" s="39">
        <f>Q70/Summary!$Q$16</f>
        <v>3.6727072228867495E-5</v>
      </c>
      <c r="S70" s="35"/>
      <c r="T70" s="40" t="e">
        <f t="shared" si="4"/>
        <v>#DIV/0!</v>
      </c>
    </row>
    <row r="71" spans="1:20" s="3" customFormat="1" ht="25.4" customHeight="1">
      <c r="A71" s="3" t="s">
        <v>578</v>
      </c>
      <c r="B71" s="3" t="s">
        <v>1009</v>
      </c>
      <c r="D71" s="26" t="s">
        <v>579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>
        <f t="shared" si="2"/>
        <v>0</v>
      </c>
      <c r="R71" s="39">
        <f>Q71/Summary!$Q$16</f>
        <v>0</v>
      </c>
      <c r="S71" s="35"/>
      <c r="T71" s="40">
        <f t="shared" si="4"/>
        <v>0</v>
      </c>
    </row>
    <row r="72" spans="1:20" s="3" customFormat="1" ht="25.4" customHeight="1">
      <c r="A72" s="3" t="s">
        <v>580</v>
      </c>
      <c r="B72" s="3" t="s">
        <v>1009</v>
      </c>
      <c r="D72" s="26" t="s">
        <v>581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3">
        <f t="shared" si="2"/>
        <v>0</v>
      </c>
      <c r="R72" s="39">
        <f>Q72/Summary!$Q$16</f>
        <v>0</v>
      </c>
      <c r="S72" s="35"/>
      <c r="T72" s="40">
        <f t="shared" si="4"/>
        <v>0</v>
      </c>
    </row>
    <row r="73" spans="1:20" s="3" customFormat="1" ht="25.4" customHeight="1">
      <c r="A73" s="3" t="s">
        <v>582</v>
      </c>
      <c r="B73" s="3" t="s">
        <v>1009</v>
      </c>
      <c r="D73" s="26" t="s">
        <v>583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>
        <f t="shared" si="2"/>
        <v>0</v>
      </c>
      <c r="R73" s="39">
        <f>Q73/Summary!$Q$16</f>
        <v>0</v>
      </c>
      <c r="S73" s="35"/>
      <c r="T73" s="40">
        <f t="shared" si="4"/>
        <v>0</v>
      </c>
    </row>
    <row r="74" spans="1:20" s="3" customFormat="1" ht="25.4" customHeight="1">
      <c r="A74" s="3" t="s">
        <v>584</v>
      </c>
      <c r="B74" s="3" t="s">
        <v>1009</v>
      </c>
      <c r="D74" s="26" t="s">
        <v>585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3">
        <f t="shared" si="2"/>
        <v>0</v>
      </c>
      <c r="R74" s="39">
        <f>Q74/Summary!$Q$16</f>
        <v>0</v>
      </c>
      <c r="S74" s="35"/>
      <c r="T74" s="40">
        <f t="shared" si="4"/>
        <v>0</v>
      </c>
    </row>
    <row r="75" spans="1:20" s="3" customFormat="1" ht="25.4" customHeight="1">
      <c r="A75" s="3" t="s">
        <v>586</v>
      </c>
      <c r="B75" s="3" t="s">
        <v>1009</v>
      </c>
      <c r="D75" s="26" t="s">
        <v>587</v>
      </c>
      <c r="E75" s="27"/>
      <c r="F75" s="27"/>
      <c r="G75" s="27"/>
      <c r="H75" s="27"/>
      <c r="I75" s="27"/>
      <c r="J75" s="27"/>
      <c r="K75" s="27">
        <v>5000</v>
      </c>
      <c r="L75" s="27"/>
      <c r="M75" s="27"/>
      <c r="N75" s="27"/>
      <c r="O75" s="27"/>
      <c r="P75" s="27"/>
      <c r="Q75" s="3">
        <f t="shared" si="2"/>
        <v>5000</v>
      </c>
      <c r="R75" s="39">
        <f>Q75/Summary!$Q$16</f>
        <v>6.2774452416944977E-5</v>
      </c>
      <c r="S75" s="35"/>
      <c r="T75" s="40" t="e">
        <f t="shared" si="4"/>
        <v>#DIV/0!</v>
      </c>
    </row>
    <row r="76" spans="1:20" s="3" customFormat="1" ht="25.4" hidden="1" customHeight="1">
      <c r="A76" s="3" t="s">
        <v>588</v>
      </c>
      <c r="B76" s="3" t="s">
        <v>1009</v>
      </c>
      <c r="D76" s="26" t="s">
        <v>589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>
        <f t="shared" si="2"/>
        <v>0</v>
      </c>
      <c r="R76" s="39">
        <f>Q76/Summary!$Q$16</f>
        <v>0</v>
      </c>
      <c r="S76" s="35"/>
      <c r="T76" s="40">
        <f t="shared" si="4"/>
        <v>0</v>
      </c>
    </row>
    <row r="77" spans="1:20" s="3" customFormat="1" ht="25.4" hidden="1" customHeight="1">
      <c r="A77" s="3" t="s">
        <v>590</v>
      </c>
      <c r="B77" s="3" t="s">
        <v>1009</v>
      </c>
      <c r="D77" s="26" t="s">
        <v>591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>
        <f t="shared" si="2"/>
        <v>0</v>
      </c>
      <c r="R77" s="39">
        <f>Q77/Summary!$Q$16</f>
        <v>0</v>
      </c>
      <c r="S77" s="35"/>
      <c r="T77" s="40">
        <f t="shared" si="4"/>
        <v>0</v>
      </c>
    </row>
    <row r="78" spans="1:20" s="3" customFormat="1" ht="25.4" hidden="1" customHeight="1">
      <c r="A78" s="253" t="s">
        <v>846</v>
      </c>
      <c r="B78" s="3" t="s">
        <v>1009</v>
      </c>
      <c r="D78" s="26" t="s">
        <v>847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>
        <f t="shared" si="2"/>
        <v>0</v>
      </c>
      <c r="R78" s="39">
        <f>Q78/Summary!$Q$16</f>
        <v>0</v>
      </c>
      <c r="S78" s="35"/>
      <c r="T78" s="40">
        <f t="shared" si="4"/>
        <v>0</v>
      </c>
    </row>
    <row r="79" spans="1:20" s="3" customFormat="1" ht="25.4" hidden="1" customHeight="1">
      <c r="A79" s="3" t="s">
        <v>592</v>
      </c>
      <c r="B79" s="3" t="s">
        <v>1009</v>
      </c>
      <c r="D79" s="26" t="s">
        <v>593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">
        <f t="shared" si="2"/>
        <v>0</v>
      </c>
      <c r="R79" s="39">
        <f>Q79/Summary!$Q$16</f>
        <v>0</v>
      </c>
      <c r="S79" s="35"/>
      <c r="T79" s="40">
        <f t="shared" si="4"/>
        <v>0</v>
      </c>
    </row>
    <row r="80" spans="1:20" s="3" customFormat="1" ht="25.4" hidden="1" customHeight="1">
      <c r="A80" s="3" t="s">
        <v>848</v>
      </c>
      <c r="B80" s="3" t="s">
        <v>1009</v>
      </c>
      <c r="D80" s="26" t="s">
        <v>849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>
        <f t="shared" ref="Q80:Q143" si="5">SUM(E80:P80)</f>
        <v>0</v>
      </c>
      <c r="R80" s="39">
        <f>Q80/Summary!$Q$16</f>
        <v>0</v>
      </c>
      <c r="S80" s="35"/>
      <c r="T80" s="40">
        <f t="shared" si="4"/>
        <v>0</v>
      </c>
    </row>
    <row r="81" spans="1:20" s="3" customFormat="1" ht="25.4" hidden="1" customHeight="1">
      <c r="A81" s="3" t="s">
        <v>850</v>
      </c>
      <c r="B81" s="3" t="s">
        <v>1009</v>
      </c>
      <c r="D81" s="26" t="s">
        <v>851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>
        <f t="shared" si="5"/>
        <v>0</v>
      </c>
      <c r="R81" s="39">
        <f>Q81/Summary!$Q$16</f>
        <v>0</v>
      </c>
      <c r="S81" s="35"/>
      <c r="T81" s="40">
        <f t="shared" si="4"/>
        <v>0</v>
      </c>
    </row>
    <row r="82" spans="1:20" s="3" customFormat="1" ht="25.4" hidden="1" customHeight="1">
      <c r="A82" s="3" t="s">
        <v>852</v>
      </c>
      <c r="B82" s="3" t="s">
        <v>1009</v>
      </c>
      <c r="D82" s="26" t="s">
        <v>853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>
        <f t="shared" si="5"/>
        <v>0</v>
      </c>
      <c r="R82" s="39">
        <f>Q82/Summary!$Q$16</f>
        <v>0</v>
      </c>
      <c r="S82" s="35"/>
      <c r="T82" s="40">
        <f t="shared" si="4"/>
        <v>0</v>
      </c>
    </row>
    <row r="83" spans="1:20" s="3" customFormat="1" ht="25.4" hidden="1" customHeight="1">
      <c r="A83" s="3" t="s">
        <v>854</v>
      </c>
      <c r="B83" s="3" t="s">
        <v>1009</v>
      </c>
      <c r="D83" s="26" t="s">
        <v>855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3">
        <f t="shared" si="5"/>
        <v>0</v>
      </c>
      <c r="R83" s="39">
        <f>Q83/Summary!$Q$16</f>
        <v>0</v>
      </c>
      <c r="S83" s="35"/>
      <c r="T83" s="40">
        <f t="shared" si="4"/>
        <v>0</v>
      </c>
    </row>
    <row r="84" spans="1:20" s="3" customFormat="1" ht="25.4" hidden="1" customHeight="1">
      <c r="A84" s="3" t="s">
        <v>856</v>
      </c>
      <c r="B84" s="3" t="s">
        <v>1009</v>
      </c>
      <c r="D84" s="26" t="s">
        <v>857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3">
        <f t="shared" si="5"/>
        <v>0</v>
      </c>
      <c r="R84" s="39">
        <f>Q84/Summary!$Q$16</f>
        <v>0</v>
      </c>
      <c r="S84" s="35"/>
      <c r="T84" s="40">
        <f t="shared" si="4"/>
        <v>0</v>
      </c>
    </row>
    <row r="85" spans="1:20" s="3" customFormat="1" ht="25.4" hidden="1" customHeight="1">
      <c r="A85" s="3" t="s">
        <v>858</v>
      </c>
      <c r="B85" s="3" t="s">
        <v>1009</v>
      </c>
      <c r="D85" s="26" t="s">
        <v>859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3">
        <f t="shared" si="5"/>
        <v>0</v>
      </c>
      <c r="R85" s="39">
        <f>Q85/Summary!$Q$16</f>
        <v>0</v>
      </c>
      <c r="S85" s="35"/>
      <c r="T85" s="40">
        <f t="shared" si="4"/>
        <v>0</v>
      </c>
    </row>
    <row r="86" spans="1:20" s="3" customFormat="1" ht="25.4" hidden="1" customHeight="1">
      <c r="A86" s="3" t="s">
        <v>860</v>
      </c>
      <c r="B86" s="3" t="s">
        <v>1009</v>
      </c>
      <c r="D86" s="26" t="s">
        <v>861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>
        <f t="shared" si="5"/>
        <v>0</v>
      </c>
      <c r="R86" s="39">
        <f>Q86/Summary!$Q$16</f>
        <v>0</v>
      </c>
      <c r="S86" s="35"/>
      <c r="T86" s="40">
        <f t="shared" si="4"/>
        <v>0</v>
      </c>
    </row>
    <row r="87" spans="1:20" s="3" customFormat="1" ht="25.4" hidden="1" customHeight="1">
      <c r="A87" s="3" t="s">
        <v>862</v>
      </c>
      <c r="B87" s="3" t="s">
        <v>1009</v>
      </c>
      <c r="D87" s="26" t="s">
        <v>863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3">
        <f t="shared" si="5"/>
        <v>0</v>
      </c>
      <c r="R87" s="39">
        <f>Q87/Summary!$Q$16</f>
        <v>0</v>
      </c>
      <c r="S87" s="35"/>
      <c r="T87" s="40">
        <f t="shared" si="4"/>
        <v>0</v>
      </c>
    </row>
    <row r="88" spans="1:20" s="3" customFormat="1" ht="25.4" hidden="1" customHeight="1">
      <c r="A88" s="3" t="s">
        <v>864</v>
      </c>
      <c r="B88" s="3" t="s">
        <v>1009</v>
      </c>
      <c r="D88" s="26" t="s">
        <v>865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>
        <f t="shared" si="5"/>
        <v>0</v>
      </c>
      <c r="R88" s="39">
        <f>Q88/Summary!$Q$16</f>
        <v>0</v>
      </c>
      <c r="S88" s="35"/>
      <c r="T88" s="40">
        <f t="shared" si="4"/>
        <v>0</v>
      </c>
    </row>
    <row r="89" spans="1:20" s="3" customFormat="1" ht="25.4" hidden="1" customHeight="1">
      <c r="A89" s="3" t="s">
        <v>270</v>
      </c>
      <c r="B89" s="3" t="s">
        <v>1009</v>
      </c>
      <c r="D89" s="26" t="s">
        <v>594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>
        <f t="shared" si="5"/>
        <v>0</v>
      </c>
      <c r="R89" s="39">
        <f>Q89/Summary!$Q$16</f>
        <v>0</v>
      </c>
      <c r="S89" s="35"/>
      <c r="T89" s="40">
        <f t="shared" si="4"/>
        <v>0</v>
      </c>
    </row>
    <row r="90" spans="1:20" s="3" customFormat="1" ht="25.4" customHeight="1">
      <c r="A90" s="3" t="s">
        <v>866</v>
      </c>
      <c r="B90" s="3" t="s">
        <v>1009</v>
      </c>
      <c r="D90" s="26" t="s">
        <v>867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3">
        <f t="shared" si="5"/>
        <v>0</v>
      </c>
      <c r="R90" s="39">
        <f>Q90/Summary!$Q$16</f>
        <v>0</v>
      </c>
      <c r="S90" s="35"/>
      <c r="T90" s="40">
        <f t="shared" si="4"/>
        <v>0</v>
      </c>
    </row>
    <row r="91" spans="1:20" s="3" customFormat="1" ht="25.4" customHeight="1">
      <c r="A91" s="3" t="s">
        <v>272</v>
      </c>
      <c r="B91" s="3" t="s">
        <v>1009</v>
      </c>
      <c r="D91" s="26" t="s">
        <v>273</v>
      </c>
      <c r="E91" s="27">
        <v>3750</v>
      </c>
      <c r="F91" s="27">
        <v>3750</v>
      </c>
      <c r="G91" s="27">
        <v>3750</v>
      </c>
      <c r="H91" s="27">
        <v>3750</v>
      </c>
      <c r="I91" s="27">
        <v>3750</v>
      </c>
      <c r="J91" s="27">
        <v>3750</v>
      </c>
      <c r="K91" s="27">
        <v>3750</v>
      </c>
      <c r="L91" s="27">
        <v>3750</v>
      </c>
      <c r="M91" s="27">
        <v>3750</v>
      </c>
      <c r="N91" s="27">
        <v>3750</v>
      </c>
      <c r="O91" s="27">
        <v>3750</v>
      </c>
      <c r="P91" s="27">
        <v>3750</v>
      </c>
      <c r="Q91" s="3">
        <f t="shared" si="5"/>
        <v>45000</v>
      </c>
      <c r="R91" s="39">
        <f>Q91/Summary!$Q$16</f>
        <v>5.6497007175250469E-4</v>
      </c>
      <c r="S91" s="35"/>
      <c r="T91" s="40" t="e">
        <f t="shared" si="4"/>
        <v>#DIV/0!</v>
      </c>
    </row>
    <row r="92" spans="1:20" s="3" customFormat="1" ht="25.4" customHeight="1">
      <c r="A92" s="3" t="s">
        <v>868</v>
      </c>
      <c r="B92" s="3" t="s">
        <v>1009</v>
      </c>
      <c r="D92" s="26" t="s">
        <v>869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>
        <f t="shared" si="5"/>
        <v>0</v>
      </c>
      <c r="R92" s="39">
        <f>Q92/Summary!$Q$16</f>
        <v>0</v>
      </c>
      <c r="S92" s="35"/>
      <c r="T92" s="40">
        <f t="shared" si="4"/>
        <v>0</v>
      </c>
    </row>
    <row r="93" spans="1:20" s="3" customFormat="1" ht="25.4" customHeight="1">
      <c r="A93" s="3" t="s">
        <v>870</v>
      </c>
      <c r="B93" s="3" t="s">
        <v>1009</v>
      </c>
      <c r="D93" s="26" t="s">
        <v>871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3">
        <f t="shared" si="5"/>
        <v>0</v>
      </c>
      <c r="R93" s="39">
        <f>Q93/Summary!$Q$16</f>
        <v>0</v>
      </c>
      <c r="S93" s="35"/>
      <c r="T93" s="40">
        <f t="shared" si="4"/>
        <v>0</v>
      </c>
    </row>
    <row r="94" spans="1:20" s="306" customFormat="1" ht="25.4" hidden="1" customHeight="1">
      <c r="A94" s="306" t="s">
        <v>872</v>
      </c>
      <c r="B94" s="306" t="s">
        <v>1009</v>
      </c>
      <c r="D94" s="26" t="s">
        <v>1214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06">
        <f t="shared" si="5"/>
        <v>0</v>
      </c>
      <c r="R94" s="39">
        <f>Q94/Summary!$Q$16</f>
        <v>0</v>
      </c>
      <c r="S94" s="307"/>
      <c r="T94" s="308">
        <f t="shared" si="4"/>
        <v>0</v>
      </c>
    </row>
    <row r="95" spans="1:20" s="3" customFormat="1" ht="25.4" hidden="1" customHeight="1">
      <c r="A95" s="3" t="s">
        <v>874</v>
      </c>
      <c r="B95" s="3" t="s">
        <v>1009</v>
      </c>
      <c r="D95" s="26" t="s">
        <v>875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>
        <f t="shared" si="5"/>
        <v>0</v>
      </c>
      <c r="R95" s="39">
        <f>Q95/Summary!$Q$16</f>
        <v>0</v>
      </c>
      <c r="S95" s="35"/>
      <c r="T95" s="40">
        <f t="shared" si="4"/>
        <v>0</v>
      </c>
    </row>
    <row r="96" spans="1:20" s="3" customFormat="1" ht="25.4" hidden="1" customHeight="1">
      <c r="A96" s="3" t="s">
        <v>876</v>
      </c>
      <c r="B96" s="3" t="s">
        <v>1009</v>
      </c>
      <c r="D96" s="26" t="s">
        <v>877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>
        <f t="shared" si="5"/>
        <v>0</v>
      </c>
      <c r="R96" s="39">
        <f>Q96/Summary!$Q$16</f>
        <v>0</v>
      </c>
      <c r="S96" s="35"/>
      <c r="T96" s="40">
        <f t="shared" si="4"/>
        <v>0</v>
      </c>
    </row>
    <row r="97" spans="1:20" s="3" customFormat="1" ht="25.4" hidden="1" customHeight="1">
      <c r="A97" s="3" t="s">
        <v>878</v>
      </c>
      <c r="B97" s="3" t="s">
        <v>1009</v>
      </c>
      <c r="D97" s="26" t="s">
        <v>879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>
        <f t="shared" si="5"/>
        <v>0</v>
      </c>
      <c r="R97" s="39">
        <f>Q97/Summary!$Q$16</f>
        <v>0</v>
      </c>
      <c r="S97" s="35"/>
      <c r="T97" s="40">
        <f t="shared" si="4"/>
        <v>0</v>
      </c>
    </row>
    <row r="98" spans="1:20" s="3" customFormat="1" ht="25.4" hidden="1" customHeight="1">
      <c r="A98" s="3" t="s">
        <v>880</v>
      </c>
      <c r="B98" s="3" t="s">
        <v>1009</v>
      </c>
      <c r="D98" s="26" t="s">
        <v>881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>
        <f t="shared" si="5"/>
        <v>0</v>
      </c>
      <c r="R98" s="39">
        <f>Q98/Summary!$Q$16</f>
        <v>0</v>
      </c>
      <c r="S98" s="35"/>
      <c r="T98" s="40">
        <f t="shared" si="4"/>
        <v>0</v>
      </c>
    </row>
    <row r="99" spans="1:20" s="3" customFormat="1" ht="25.4" hidden="1" customHeight="1">
      <c r="A99" s="3" t="s">
        <v>882</v>
      </c>
      <c r="B99" s="3" t="s">
        <v>1009</v>
      </c>
      <c r="D99" s="26" t="s">
        <v>883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>
        <f t="shared" si="5"/>
        <v>0</v>
      </c>
      <c r="R99" s="39">
        <f>Q99/Summary!$Q$16</f>
        <v>0</v>
      </c>
      <c r="S99" s="35"/>
      <c r="T99" s="40">
        <f t="shared" si="4"/>
        <v>0</v>
      </c>
    </row>
    <row r="100" spans="1:20" s="3" customFormat="1" ht="25.4" hidden="1" customHeight="1">
      <c r="A100" s="3" t="s">
        <v>884</v>
      </c>
      <c r="B100" s="3" t="s">
        <v>1009</v>
      </c>
      <c r="D100" s="26" t="s">
        <v>885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>
        <f t="shared" si="5"/>
        <v>0</v>
      </c>
      <c r="R100" s="39">
        <f>Q100/Summary!$Q$16</f>
        <v>0</v>
      </c>
      <c r="S100" s="35"/>
      <c r="T100" s="40">
        <f t="shared" si="4"/>
        <v>0</v>
      </c>
    </row>
    <row r="101" spans="1:20" s="3" customFormat="1" ht="25.4" hidden="1" customHeight="1">
      <c r="A101" s="3" t="s">
        <v>886</v>
      </c>
      <c r="B101" s="3" t="s">
        <v>1009</v>
      </c>
      <c r="D101" s="26" t="s">
        <v>887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>
        <f t="shared" si="5"/>
        <v>0</v>
      </c>
      <c r="R101" s="39">
        <f>Q101/Summary!$Q$16</f>
        <v>0</v>
      </c>
      <c r="S101" s="35"/>
      <c r="T101" s="40">
        <f t="shared" ref="T101:T132" si="6">-IF(Q101-S101=0,0,(Q101-S101)/S101)</f>
        <v>0</v>
      </c>
    </row>
    <row r="102" spans="1:20" s="3" customFormat="1" ht="25.4" hidden="1" customHeight="1">
      <c r="A102" s="3" t="s">
        <v>888</v>
      </c>
      <c r="B102" s="3" t="s">
        <v>1009</v>
      </c>
      <c r="D102" s="26" t="s">
        <v>889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>
        <f t="shared" si="5"/>
        <v>0</v>
      </c>
      <c r="R102" s="39">
        <f>Q102/Summary!$Q$16</f>
        <v>0</v>
      </c>
      <c r="S102" s="35"/>
      <c r="T102" s="40">
        <f t="shared" si="6"/>
        <v>0</v>
      </c>
    </row>
    <row r="103" spans="1:20" s="3" customFormat="1" ht="25.4" hidden="1" customHeight="1">
      <c r="A103" s="3" t="s">
        <v>890</v>
      </c>
      <c r="B103" s="3" t="s">
        <v>1009</v>
      </c>
      <c r="D103" s="26" t="s">
        <v>891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>
        <f t="shared" si="5"/>
        <v>0</v>
      </c>
      <c r="R103" s="39">
        <f>Q103/Summary!$Q$16</f>
        <v>0</v>
      </c>
      <c r="S103" s="35"/>
      <c r="T103" s="40">
        <f t="shared" si="6"/>
        <v>0</v>
      </c>
    </row>
    <row r="104" spans="1:20" s="3" customFormat="1" ht="25.4" hidden="1" customHeight="1">
      <c r="A104" s="3" t="s">
        <v>892</v>
      </c>
      <c r="B104" s="3" t="s">
        <v>1009</v>
      </c>
      <c r="D104" s="26" t="s">
        <v>893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>
        <f t="shared" si="5"/>
        <v>0</v>
      </c>
      <c r="R104" s="39">
        <f>Q104/Summary!$Q$16</f>
        <v>0</v>
      </c>
      <c r="S104" s="35"/>
      <c r="T104" s="40">
        <f t="shared" si="6"/>
        <v>0</v>
      </c>
    </row>
    <row r="105" spans="1:20" s="3" customFormat="1" ht="25.4" hidden="1" customHeight="1">
      <c r="A105" s="3" t="s">
        <v>894</v>
      </c>
      <c r="B105" s="3" t="s">
        <v>1009</v>
      </c>
      <c r="D105" s="26" t="s">
        <v>895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>
        <f t="shared" si="5"/>
        <v>0</v>
      </c>
      <c r="R105" s="39">
        <f>Q105/Summary!$Q$16</f>
        <v>0</v>
      </c>
      <c r="S105" s="35"/>
      <c r="T105" s="40">
        <f t="shared" si="6"/>
        <v>0</v>
      </c>
    </row>
    <row r="106" spans="1:20" s="3" customFormat="1" ht="25.4" hidden="1" customHeight="1">
      <c r="A106" s="3" t="s">
        <v>896</v>
      </c>
      <c r="B106" s="3" t="s">
        <v>1009</v>
      </c>
      <c r="D106" s="26" t="s">
        <v>897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>
        <f t="shared" si="5"/>
        <v>0</v>
      </c>
      <c r="R106" s="39">
        <f>Q106/Summary!$Q$16</f>
        <v>0</v>
      </c>
      <c r="S106" s="35"/>
      <c r="T106" s="40">
        <f t="shared" si="6"/>
        <v>0</v>
      </c>
    </row>
    <row r="107" spans="1:20" s="3" customFormat="1" ht="25.4" hidden="1" customHeight="1">
      <c r="A107" s="3" t="s">
        <v>898</v>
      </c>
      <c r="B107" s="3" t="s">
        <v>1009</v>
      </c>
      <c r="D107" s="26" t="s">
        <v>899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>
        <f t="shared" si="5"/>
        <v>0</v>
      </c>
      <c r="R107" s="39">
        <f>Q107/Summary!$Q$16</f>
        <v>0</v>
      </c>
      <c r="S107" s="35"/>
      <c r="T107" s="40">
        <f t="shared" si="6"/>
        <v>0</v>
      </c>
    </row>
    <row r="108" spans="1:20" s="3" customFormat="1" ht="25.4" hidden="1" customHeight="1">
      <c r="A108" s="3" t="s">
        <v>900</v>
      </c>
      <c r="B108" s="3" t="s">
        <v>1009</v>
      </c>
      <c r="D108" s="26" t="s">
        <v>901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>
        <f t="shared" si="5"/>
        <v>0</v>
      </c>
      <c r="R108" s="39">
        <f>Q108/Summary!$Q$16</f>
        <v>0</v>
      </c>
      <c r="S108" s="35"/>
      <c r="T108" s="40">
        <f t="shared" si="6"/>
        <v>0</v>
      </c>
    </row>
    <row r="109" spans="1:20" s="3" customFormat="1" ht="25.4" hidden="1" customHeight="1">
      <c r="A109" s="3" t="s">
        <v>902</v>
      </c>
      <c r="B109" s="3" t="s">
        <v>1009</v>
      </c>
      <c r="D109" s="26" t="s">
        <v>903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>
        <f t="shared" si="5"/>
        <v>0</v>
      </c>
      <c r="R109" s="39">
        <f>Q109/Summary!$Q$16</f>
        <v>0</v>
      </c>
      <c r="S109" s="35"/>
      <c r="T109" s="40">
        <f t="shared" si="6"/>
        <v>0</v>
      </c>
    </row>
    <row r="110" spans="1:20" s="3" customFormat="1" ht="25.4" hidden="1" customHeight="1">
      <c r="A110" s="3" t="s">
        <v>904</v>
      </c>
      <c r="B110" s="3" t="s">
        <v>1009</v>
      </c>
      <c r="D110" s="26" t="s">
        <v>905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>
        <f t="shared" si="5"/>
        <v>0</v>
      </c>
      <c r="R110" s="39">
        <f>Q110/Summary!$Q$16</f>
        <v>0</v>
      </c>
      <c r="S110" s="35"/>
      <c r="T110" s="40">
        <f t="shared" si="6"/>
        <v>0</v>
      </c>
    </row>
    <row r="111" spans="1:20" s="3" customFormat="1" ht="25.4" hidden="1" customHeight="1">
      <c r="A111" s="3" t="s">
        <v>906</v>
      </c>
      <c r="B111" s="3" t="s">
        <v>1009</v>
      </c>
      <c r="D111" s="26" t="s">
        <v>907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>
        <f t="shared" si="5"/>
        <v>0</v>
      </c>
      <c r="R111" s="39">
        <f>Q111/Summary!$Q$16</f>
        <v>0</v>
      </c>
      <c r="S111" s="35"/>
      <c r="T111" s="40">
        <f t="shared" si="6"/>
        <v>0</v>
      </c>
    </row>
    <row r="112" spans="1:20" s="3" customFormat="1" ht="25.4" hidden="1" customHeight="1">
      <c r="A112" s="3" t="s">
        <v>908</v>
      </c>
      <c r="B112" s="3" t="s">
        <v>1009</v>
      </c>
      <c r="D112" s="26" t="s">
        <v>909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>
        <f t="shared" si="5"/>
        <v>0</v>
      </c>
      <c r="R112" s="39">
        <f>Q112/Summary!$Q$16</f>
        <v>0</v>
      </c>
      <c r="S112" s="35"/>
      <c r="T112" s="40">
        <f t="shared" si="6"/>
        <v>0</v>
      </c>
    </row>
    <row r="113" spans="1:20" s="3" customFormat="1" ht="25.4" hidden="1" customHeight="1">
      <c r="A113" s="3" t="s">
        <v>910</v>
      </c>
      <c r="B113" s="3" t="s">
        <v>1009</v>
      </c>
      <c r="D113" s="26" t="s">
        <v>911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>
        <f t="shared" si="5"/>
        <v>0</v>
      </c>
      <c r="R113" s="39">
        <f>Q113/Summary!$Q$16</f>
        <v>0</v>
      </c>
      <c r="S113" s="35"/>
      <c r="T113" s="40">
        <f t="shared" si="6"/>
        <v>0</v>
      </c>
    </row>
    <row r="114" spans="1:20" s="3" customFormat="1" ht="25.4" hidden="1" customHeight="1">
      <c r="A114" s="3" t="s">
        <v>912</v>
      </c>
      <c r="B114" s="3" t="s">
        <v>1009</v>
      </c>
      <c r="D114" s="26" t="s">
        <v>913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>
        <f t="shared" si="5"/>
        <v>0</v>
      </c>
      <c r="R114" s="39">
        <f>Q114/Summary!$Q$16</f>
        <v>0</v>
      </c>
      <c r="S114" s="35"/>
      <c r="T114" s="40">
        <f t="shared" si="6"/>
        <v>0</v>
      </c>
    </row>
    <row r="115" spans="1:20" s="3" customFormat="1" ht="25.4" hidden="1" customHeight="1">
      <c r="A115" s="3" t="s">
        <v>914</v>
      </c>
      <c r="B115" s="3" t="s">
        <v>1009</v>
      </c>
      <c r="D115" s="26" t="s">
        <v>915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>
        <f t="shared" si="5"/>
        <v>0</v>
      </c>
      <c r="R115" s="39">
        <f>Q115/Summary!$Q$16</f>
        <v>0</v>
      </c>
      <c r="S115" s="35"/>
      <c r="T115" s="40">
        <f t="shared" si="6"/>
        <v>0</v>
      </c>
    </row>
    <row r="116" spans="1:20" s="3" customFormat="1" ht="25.4" hidden="1" customHeight="1">
      <c r="A116" s="3" t="s">
        <v>916</v>
      </c>
      <c r="B116" s="3" t="s">
        <v>1009</v>
      </c>
      <c r="D116" s="26" t="s">
        <v>917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>
        <f t="shared" si="5"/>
        <v>0</v>
      </c>
      <c r="R116" s="39">
        <f>Q116/Summary!$Q$16</f>
        <v>0</v>
      </c>
      <c r="S116" s="35"/>
      <c r="T116" s="40">
        <f t="shared" si="6"/>
        <v>0</v>
      </c>
    </row>
    <row r="117" spans="1:20" s="3" customFormat="1" ht="25.4" hidden="1" customHeight="1">
      <c r="A117" s="3" t="s">
        <v>918</v>
      </c>
      <c r="B117" s="3" t="s">
        <v>1009</v>
      </c>
      <c r="D117" s="26" t="s">
        <v>919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>
        <f t="shared" si="5"/>
        <v>0</v>
      </c>
      <c r="R117" s="39">
        <f>Q117/Summary!$Q$16</f>
        <v>0</v>
      </c>
      <c r="S117" s="35"/>
      <c r="T117" s="40">
        <f t="shared" si="6"/>
        <v>0</v>
      </c>
    </row>
    <row r="118" spans="1:20" s="3" customFormat="1" ht="25.4" hidden="1" customHeight="1">
      <c r="A118" s="3" t="s">
        <v>920</v>
      </c>
      <c r="B118" s="3" t="s">
        <v>1009</v>
      </c>
      <c r="D118" s="26" t="s">
        <v>921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3">
        <f t="shared" si="5"/>
        <v>0</v>
      </c>
      <c r="R118" s="39">
        <f>Q118/Summary!$Q$16</f>
        <v>0</v>
      </c>
      <c r="S118" s="35"/>
      <c r="T118" s="40">
        <f t="shared" si="6"/>
        <v>0</v>
      </c>
    </row>
    <row r="119" spans="1:20" s="3" customFormat="1" ht="25.4" hidden="1" customHeight="1">
      <c r="A119" s="3" t="s">
        <v>922</v>
      </c>
      <c r="B119" s="3" t="s">
        <v>1009</v>
      </c>
      <c r="D119" s="26" t="s">
        <v>923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3">
        <f t="shared" si="5"/>
        <v>0</v>
      </c>
      <c r="R119" s="39">
        <f>Q119/Summary!$Q$16</f>
        <v>0</v>
      </c>
      <c r="S119" s="35"/>
      <c r="T119" s="40">
        <f t="shared" si="6"/>
        <v>0</v>
      </c>
    </row>
    <row r="120" spans="1:20" s="3" customFormat="1" ht="25.4" hidden="1" customHeight="1">
      <c r="A120" s="3" t="s">
        <v>924</v>
      </c>
      <c r="B120" s="3" t="s">
        <v>1009</v>
      </c>
      <c r="D120" s="26" t="s">
        <v>925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3">
        <f t="shared" si="5"/>
        <v>0</v>
      </c>
      <c r="R120" s="39">
        <f>Q120/Summary!$Q$16</f>
        <v>0</v>
      </c>
      <c r="S120" s="35"/>
      <c r="T120" s="40">
        <f t="shared" si="6"/>
        <v>0</v>
      </c>
    </row>
    <row r="121" spans="1:20" s="3" customFormat="1" ht="25.4" hidden="1" customHeight="1">
      <c r="A121" s="3" t="s">
        <v>926</v>
      </c>
      <c r="B121" s="3" t="s">
        <v>1009</v>
      </c>
      <c r="D121" s="26" t="s">
        <v>927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3">
        <f t="shared" si="5"/>
        <v>0</v>
      </c>
      <c r="R121" s="39">
        <f>Q121/Summary!$Q$16</f>
        <v>0</v>
      </c>
      <c r="S121" s="35"/>
      <c r="T121" s="40">
        <f t="shared" si="6"/>
        <v>0</v>
      </c>
    </row>
    <row r="122" spans="1:20" s="3" customFormat="1" ht="25.4" hidden="1" customHeight="1">
      <c r="A122" s="3" t="s">
        <v>928</v>
      </c>
      <c r="B122" s="3" t="s">
        <v>1009</v>
      </c>
      <c r="D122" s="26" t="s">
        <v>929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3">
        <f t="shared" si="5"/>
        <v>0</v>
      </c>
      <c r="R122" s="39">
        <f>Q122/Summary!$Q$16</f>
        <v>0</v>
      </c>
      <c r="S122" s="35"/>
      <c r="T122" s="40">
        <f t="shared" si="6"/>
        <v>0</v>
      </c>
    </row>
    <row r="123" spans="1:20" s="3" customFormat="1" ht="25.4" hidden="1" customHeight="1">
      <c r="A123" s="3" t="s">
        <v>930</v>
      </c>
      <c r="B123" s="3" t="s">
        <v>1009</v>
      </c>
      <c r="D123" s="26" t="s">
        <v>931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3">
        <f t="shared" si="5"/>
        <v>0</v>
      </c>
      <c r="R123" s="39">
        <f>Q123/Summary!$Q$16</f>
        <v>0</v>
      </c>
      <c r="S123" s="35"/>
      <c r="T123" s="40">
        <f t="shared" si="6"/>
        <v>0</v>
      </c>
    </row>
    <row r="124" spans="1:20" s="3" customFormat="1" ht="25.4" hidden="1" customHeight="1">
      <c r="A124" s="3" t="s">
        <v>932</v>
      </c>
      <c r="B124" s="3" t="s">
        <v>1009</v>
      </c>
      <c r="D124" s="26" t="s">
        <v>933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3">
        <f t="shared" si="5"/>
        <v>0</v>
      </c>
      <c r="R124" s="39">
        <f>Q124/Summary!$Q$16</f>
        <v>0</v>
      </c>
      <c r="S124" s="35"/>
      <c r="T124" s="40">
        <f t="shared" si="6"/>
        <v>0</v>
      </c>
    </row>
    <row r="125" spans="1:20" s="3" customFormat="1" ht="25.4" hidden="1" customHeight="1">
      <c r="A125" s="3" t="s">
        <v>934</v>
      </c>
      <c r="B125" s="3" t="s">
        <v>1009</v>
      </c>
      <c r="D125" s="26" t="s">
        <v>935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3">
        <f t="shared" si="5"/>
        <v>0</v>
      </c>
      <c r="R125" s="39">
        <f>Q125/Summary!$Q$16</f>
        <v>0</v>
      </c>
      <c r="S125" s="35"/>
      <c r="T125" s="40">
        <f t="shared" si="6"/>
        <v>0</v>
      </c>
    </row>
    <row r="126" spans="1:20" s="3" customFormat="1" ht="25.4" hidden="1" customHeight="1">
      <c r="A126" s="3" t="s">
        <v>936</v>
      </c>
      <c r="B126" s="3" t="s">
        <v>1009</v>
      </c>
      <c r="D126" s="26" t="s">
        <v>937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3">
        <f t="shared" si="5"/>
        <v>0</v>
      </c>
      <c r="R126" s="39">
        <f>Q126/Summary!$Q$16</f>
        <v>0</v>
      </c>
      <c r="S126" s="35"/>
      <c r="T126" s="40">
        <f t="shared" si="6"/>
        <v>0</v>
      </c>
    </row>
    <row r="127" spans="1:20" s="3" customFormat="1" ht="25.4" hidden="1" customHeight="1">
      <c r="A127" s="3" t="s">
        <v>938</v>
      </c>
      <c r="B127" s="3" t="s">
        <v>1009</v>
      </c>
      <c r="D127" s="26" t="s">
        <v>939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3">
        <f t="shared" si="5"/>
        <v>0</v>
      </c>
      <c r="R127" s="39">
        <f>Q127/Summary!$Q$16</f>
        <v>0</v>
      </c>
      <c r="S127" s="35"/>
      <c r="T127" s="40">
        <f t="shared" si="6"/>
        <v>0</v>
      </c>
    </row>
    <row r="128" spans="1:20" s="3" customFormat="1" ht="25.4" hidden="1" customHeight="1">
      <c r="A128" s="3" t="s">
        <v>940</v>
      </c>
      <c r="B128" s="3" t="s">
        <v>1009</v>
      </c>
      <c r="D128" s="26" t="s">
        <v>941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3">
        <f t="shared" si="5"/>
        <v>0</v>
      </c>
      <c r="R128" s="39">
        <f>Q128/Summary!$Q$16</f>
        <v>0</v>
      </c>
      <c r="S128" s="35"/>
      <c r="T128" s="40">
        <f t="shared" si="6"/>
        <v>0</v>
      </c>
    </row>
    <row r="129" spans="1:20" s="3" customFormat="1" ht="25.4" hidden="1" customHeight="1">
      <c r="A129" s="3" t="s">
        <v>942</v>
      </c>
      <c r="B129" s="3" t="s">
        <v>1009</v>
      </c>
      <c r="D129" s="26" t="s">
        <v>943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3">
        <f t="shared" si="5"/>
        <v>0</v>
      </c>
      <c r="R129" s="39">
        <f>Q129/Summary!$Q$16</f>
        <v>0</v>
      </c>
      <c r="S129" s="35"/>
      <c r="T129" s="40">
        <f t="shared" si="6"/>
        <v>0</v>
      </c>
    </row>
    <row r="130" spans="1:20" s="3" customFormat="1" ht="25.4" hidden="1" customHeight="1">
      <c r="A130" s="3" t="s">
        <v>944</v>
      </c>
      <c r="B130" s="3" t="s">
        <v>1009</v>
      </c>
      <c r="D130" s="26" t="s">
        <v>945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3">
        <f t="shared" si="5"/>
        <v>0</v>
      </c>
      <c r="R130" s="39">
        <f>Q130/Summary!$Q$16</f>
        <v>0</v>
      </c>
      <c r="S130" s="35"/>
      <c r="T130" s="40">
        <f t="shared" si="6"/>
        <v>0</v>
      </c>
    </row>
    <row r="131" spans="1:20" s="3" customFormat="1" ht="25.4" hidden="1" customHeight="1">
      <c r="A131" s="3" t="s">
        <v>946</v>
      </c>
      <c r="B131" s="3" t="s">
        <v>1009</v>
      </c>
      <c r="D131" s="26" t="s">
        <v>947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3">
        <f t="shared" si="5"/>
        <v>0</v>
      </c>
      <c r="R131" s="39">
        <f>Q131/Summary!$Q$16</f>
        <v>0</v>
      </c>
      <c r="S131" s="35"/>
      <c r="T131" s="40">
        <f t="shared" si="6"/>
        <v>0</v>
      </c>
    </row>
    <row r="132" spans="1:20" s="3" customFormat="1" ht="25.4" hidden="1" customHeight="1">
      <c r="A132" s="3" t="s">
        <v>948</v>
      </c>
      <c r="B132" s="3" t="s">
        <v>1009</v>
      </c>
      <c r="D132" s="26" t="s">
        <v>949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3">
        <f t="shared" si="5"/>
        <v>0</v>
      </c>
      <c r="R132" s="39">
        <f>Q132/Summary!$Q$16</f>
        <v>0</v>
      </c>
      <c r="S132" s="35"/>
      <c r="T132" s="40">
        <f t="shared" si="6"/>
        <v>0</v>
      </c>
    </row>
    <row r="133" spans="1:20" s="3" customFormat="1" ht="25.4" hidden="1" customHeight="1">
      <c r="A133" s="3" t="s">
        <v>950</v>
      </c>
      <c r="B133" s="3" t="s">
        <v>1009</v>
      </c>
      <c r="D133" s="26" t="s">
        <v>951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3">
        <f t="shared" si="5"/>
        <v>0</v>
      </c>
      <c r="R133" s="39">
        <f>Q133/Summary!$Q$16</f>
        <v>0</v>
      </c>
      <c r="S133" s="35"/>
      <c r="T133" s="40">
        <f t="shared" ref="T133:T159" si="7">-IF(Q133-S133=0,0,(Q133-S133)/S133)</f>
        <v>0</v>
      </c>
    </row>
    <row r="134" spans="1:20" s="3" customFormat="1" ht="25.4" hidden="1" customHeight="1">
      <c r="A134" s="3" t="s">
        <v>952</v>
      </c>
      <c r="B134" s="3" t="s">
        <v>1009</v>
      </c>
      <c r="D134" s="26" t="s">
        <v>953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3">
        <f t="shared" si="5"/>
        <v>0</v>
      </c>
      <c r="R134" s="39">
        <f>Q134/Summary!$Q$16</f>
        <v>0</v>
      </c>
      <c r="S134" s="35"/>
      <c r="T134" s="40">
        <f t="shared" si="7"/>
        <v>0</v>
      </c>
    </row>
    <row r="135" spans="1:20" s="3" customFormat="1" ht="25.4" hidden="1" customHeight="1">
      <c r="A135" s="3" t="s">
        <v>954</v>
      </c>
      <c r="B135" s="3" t="s">
        <v>1009</v>
      </c>
      <c r="D135" s="26" t="s">
        <v>955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3">
        <f t="shared" si="5"/>
        <v>0</v>
      </c>
      <c r="R135" s="39">
        <f>Q135/Summary!$Q$16</f>
        <v>0</v>
      </c>
      <c r="S135" s="35"/>
      <c r="T135" s="40">
        <f t="shared" si="7"/>
        <v>0</v>
      </c>
    </row>
    <row r="136" spans="1:20" s="3" customFormat="1" ht="25.4" hidden="1" customHeight="1">
      <c r="A136" s="3" t="s">
        <v>956</v>
      </c>
      <c r="B136" s="3" t="s">
        <v>1009</v>
      </c>
      <c r="D136" s="26" t="s">
        <v>957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3">
        <f t="shared" si="5"/>
        <v>0</v>
      </c>
      <c r="R136" s="39">
        <f>Q136/Summary!$Q$16</f>
        <v>0</v>
      </c>
      <c r="S136" s="35"/>
      <c r="T136" s="40">
        <f t="shared" si="7"/>
        <v>0</v>
      </c>
    </row>
    <row r="137" spans="1:20" s="3" customFormat="1" ht="25.4" hidden="1" customHeight="1">
      <c r="A137" s="3" t="s">
        <v>958</v>
      </c>
      <c r="B137" s="3" t="s">
        <v>1009</v>
      </c>
      <c r="D137" s="26" t="s">
        <v>959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3">
        <f t="shared" si="5"/>
        <v>0</v>
      </c>
      <c r="R137" s="39">
        <f>Q137/Summary!$Q$16</f>
        <v>0</v>
      </c>
      <c r="S137" s="35"/>
      <c r="T137" s="40">
        <f t="shared" si="7"/>
        <v>0</v>
      </c>
    </row>
    <row r="138" spans="1:20" s="3" customFormat="1" ht="25.4" hidden="1" customHeight="1">
      <c r="A138" s="3" t="s">
        <v>960</v>
      </c>
      <c r="B138" s="3" t="s">
        <v>1009</v>
      </c>
      <c r="D138" s="26" t="s">
        <v>961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3">
        <f t="shared" si="5"/>
        <v>0</v>
      </c>
      <c r="R138" s="39">
        <f>Q138/Summary!$Q$16</f>
        <v>0</v>
      </c>
      <c r="S138" s="35"/>
      <c r="T138" s="40">
        <f t="shared" si="7"/>
        <v>0</v>
      </c>
    </row>
    <row r="139" spans="1:20" s="3" customFormat="1" ht="25.4" hidden="1" customHeight="1">
      <c r="A139" s="3" t="s">
        <v>962</v>
      </c>
      <c r="B139" s="3" t="s">
        <v>1009</v>
      </c>
      <c r="D139" s="26" t="s">
        <v>963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3">
        <f t="shared" si="5"/>
        <v>0</v>
      </c>
      <c r="R139" s="39">
        <f>Q139/Summary!$Q$16</f>
        <v>0</v>
      </c>
      <c r="S139" s="35"/>
      <c r="T139" s="40">
        <f t="shared" si="7"/>
        <v>0</v>
      </c>
    </row>
    <row r="140" spans="1:20" s="3" customFormat="1" ht="25.4" hidden="1" customHeight="1">
      <c r="A140" s="3" t="s">
        <v>964</v>
      </c>
      <c r="B140" s="3" t="s">
        <v>1009</v>
      </c>
      <c r="D140" s="26" t="s">
        <v>965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3">
        <f t="shared" si="5"/>
        <v>0</v>
      </c>
      <c r="R140" s="39">
        <f>Q140/Summary!$Q$16</f>
        <v>0</v>
      </c>
      <c r="S140" s="35"/>
      <c r="T140" s="40">
        <f t="shared" si="7"/>
        <v>0</v>
      </c>
    </row>
    <row r="141" spans="1:20" s="3" customFormat="1" ht="25.4" hidden="1" customHeight="1">
      <c r="A141" s="3" t="s">
        <v>966</v>
      </c>
      <c r="B141" s="3" t="s">
        <v>1009</v>
      </c>
      <c r="D141" s="26" t="s">
        <v>967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3">
        <f t="shared" si="5"/>
        <v>0</v>
      </c>
      <c r="R141" s="39">
        <f>Q141/Summary!$Q$16</f>
        <v>0</v>
      </c>
      <c r="S141" s="35"/>
      <c r="T141" s="40">
        <f t="shared" si="7"/>
        <v>0</v>
      </c>
    </row>
    <row r="142" spans="1:20" s="3" customFormat="1" ht="25.4" hidden="1" customHeight="1">
      <c r="A142" s="3" t="s">
        <v>968</v>
      </c>
      <c r="B142" s="3" t="s">
        <v>1009</v>
      </c>
      <c r="D142" s="26" t="s">
        <v>969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3">
        <f t="shared" si="5"/>
        <v>0</v>
      </c>
      <c r="R142" s="39">
        <f>Q142/Summary!$Q$16</f>
        <v>0</v>
      </c>
      <c r="S142" s="35"/>
      <c r="T142" s="40">
        <f t="shared" si="7"/>
        <v>0</v>
      </c>
    </row>
    <row r="143" spans="1:20" s="3" customFormat="1" ht="25.4" hidden="1" customHeight="1">
      <c r="A143" s="3" t="s">
        <v>970</v>
      </c>
      <c r="B143" s="3" t="s">
        <v>1009</v>
      </c>
      <c r="D143" s="26" t="s">
        <v>971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3">
        <f t="shared" si="5"/>
        <v>0</v>
      </c>
      <c r="R143" s="39">
        <f>Q143/Summary!$Q$16</f>
        <v>0</v>
      </c>
      <c r="S143" s="35"/>
      <c r="T143" s="40">
        <f t="shared" si="7"/>
        <v>0</v>
      </c>
    </row>
    <row r="144" spans="1:20" s="3" customFormat="1" ht="25.4" hidden="1" customHeight="1">
      <c r="A144" s="3" t="s">
        <v>972</v>
      </c>
      <c r="B144" s="3" t="s">
        <v>1009</v>
      </c>
      <c r="D144" s="26" t="s">
        <v>973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3">
        <f t="shared" ref="Q144:Q157" si="8">SUM(E144:P144)</f>
        <v>0</v>
      </c>
      <c r="R144" s="39">
        <f>Q144/Summary!$Q$16</f>
        <v>0</v>
      </c>
      <c r="S144" s="35"/>
      <c r="T144" s="40">
        <f t="shared" si="7"/>
        <v>0</v>
      </c>
    </row>
    <row r="145" spans="1:20" s="3" customFormat="1" ht="25.4" hidden="1" customHeight="1">
      <c r="A145" s="3" t="s">
        <v>974</v>
      </c>
      <c r="B145" s="3" t="s">
        <v>1009</v>
      </c>
      <c r="D145" s="26" t="s">
        <v>975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3">
        <f t="shared" si="8"/>
        <v>0</v>
      </c>
      <c r="R145" s="39">
        <f>Q145/Summary!$Q$16</f>
        <v>0</v>
      </c>
      <c r="S145" s="35"/>
      <c r="T145" s="40">
        <f t="shared" si="7"/>
        <v>0</v>
      </c>
    </row>
    <row r="146" spans="1:20" s="3" customFormat="1" ht="25.4" hidden="1" customHeight="1">
      <c r="A146" s="3" t="s">
        <v>976</v>
      </c>
      <c r="B146" s="3" t="s">
        <v>1009</v>
      </c>
      <c r="D146" s="26" t="s">
        <v>977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3">
        <f t="shared" si="8"/>
        <v>0</v>
      </c>
      <c r="R146" s="39">
        <f>Q146/Summary!$Q$16</f>
        <v>0</v>
      </c>
      <c r="S146" s="35"/>
      <c r="T146" s="40">
        <f t="shared" si="7"/>
        <v>0</v>
      </c>
    </row>
    <row r="147" spans="1:20" s="3" customFormat="1" ht="25.4" hidden="1" customHeight="1">
      <c r="A147" s="3" t="s">
        <v>978</v>
      </c>
      <c r="B147" s="3" t="s">
        <v>1009</v>
      </c>
      <c r="D147" s="26" t="s">
        <v>979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3">
        <f t="shared" si="8"/>
        <v>0</v>
      </c>
      <c r="R147" s="39">
        <f>Q147/Summary!$Q$16</f>
        <v>0</v>
      </c>
      <c r="S147" s="35"/>
      <c r="T147" s="40">
        <f t="shared" si="7"/>
        <v>0</v>
      </c>
    </row>
    <row r="148" spans="1:20" s="3" customFormat="1" ht="25.4" hidden="1" customHeight="1">
      <c r="A148" s="3" t="s">
        <v>980</v>
      </c>
      <c r="B148" s="3" t="s">
        <v>1009</v>
      </c>
      <c r="D148" s="26" t="s">
        <v>981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3">
        <f t="shared" si="8"/>
        <v>0</v>
      </c>
      <c r="R148" s="39">
        <f>Q148/Summary!$Q$16</f>
        <v>0</v>
      </c>
      <c r="S148" s="35"/>
      <c r="T148" s="40">
        <f t="shared" si="7"/>
        <v>0</v>
      </c>
    </row>
    <row r="149" spans="1:20" s="3" customFormat="1" ht="25.4" hidden="1" customHeight="1">
      <c r="A149" s="3" t="s">
        <v>982</v>
      </c>
      <c r="B149" s="3" t="s">
        <v>1009</v>
      </c>
      <c r="D149" s="26" t="s">
        <v>983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3">
        <f t="shared" si="8"/>
        <v>0</v>
      </c>
      <c r="R149" s="39">
        <f>Q149/Summary!$Q$16</f>
        <v>0</v>
      </c>
      <c r="S149" s="35"/>
      <c r="T149" s="40">
        <f t="shared" si="7"/>
        <v>0</v>
      </c>
    </row>
    <row r="150" spans="1:20" s="3" customFormat="1" ht="25.4" hidden="1" customHeight="1">
      <c r="A150" s="3" t="s">
        <v>984</v>
      </c>
      <c r="B150" s="3" t="s">
        <v>1009</v>
      </c>
      <c r="D150" s="26" t="s">
        <v>985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3">
        <f t="shared" si="8"/>
        <v>0</v>
      </c>
      <c r="R150" s="39">
        <f>Q150/Summary!$Q$16</f>
        <v>0</v>
      </c>
      <c r="S150" s="35"/>
      <c r="T150" s="40">
        <f t="shared" si="7"/>
        <v>0</v>
      </c>
    </row>
    <row r="151" spans="1:20" s="3" customFormat="1" ht="25.4" hidden="1" customHeight="1">
      <c r="A151" s="3" t="s">
        <v>986</v>
      </c>
      <c r="B151" s="3" t="s">
        <v>1009</v>
      </c>
      <c r="D151" s="26" t="s">
        <v>987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3">
        <f t="shared" si="8"/>
        <v>0</v>
      </c>
      <c r="R151" s="39">
        <f>Q151/Summary!$Q$16</f>
        <v>0</v>
      </c>
      <c r="S151" s="35"/>
      <c r="T151" s="40">
        <f t="shared" si="7"/>
        <v>0</v>
      </c>
    </row>
    <row r="152" spans="1:20" s="3" customFormat="1" ht="25.4" hidden="1" customHeight="1">
      <c r="A152" s="3" t="s">
        <v>988</v>
      </c>
      <c r="B152" s="3" t="s">
        <v>1009</v>
      </c>
      <c r="D152" s="26" t="s">
        <v>989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3">
        <f t="shared" si="8"/>
        <v>0</v>
      </c>
      <c r="R152" s="39">
        <f>Q152/Summary!$Q$16</f>
        <v>0</v>
      </c>
      <c r="S152" s="35"/>
      <c r="T152" s="40">
        <f t="shared" si="7"/>
        <v>0</v>
      </c>
    </row>
    <row r="153" spans="1:20" s="3" customFormat="1" ht="25.4" hidden="1" customHeight="1">
      <c r="A153" s="3" t="s">
        <v>990</v>
      </c>
      <c r="B153" s="3" t="s">
        <v>1009</v>
      </c>
      <c r="D153" s="26" t="s">
        <v>991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3">
        <f t="shared" si="8"/>
        <v>0</v>
      </c>
      <c r="R153" s="39">
        <f>Q153/Summary!$Q$16</f>
        <v>0</v>
      </c>
      <c r="S153" s="35"/>
      <c r="T153" s="40">
        <f t="shared" si="7"/>
        <v>0</v>
      </c>
    </row>
    <row r="154" spans="1:20" s="3" customFormat="1" ht="25.4" customHeight="1">
      <c r="A154" s="3" t="s">
        <v>992</v>
      </c>
      <c r="B154" s="3" t="s">
        <v>1009</v>
      </c>
      <c r="D154" s="26" t="s">
        <v>993</v>
      </c>
      <c r="E154" s="27">
        <v>500</v>
      </c>
      <c r="F154" s="27">
        <v>500</v>
      </c>
      <c r="G154" s="27">
        <v>500</v>
      </c>
      <c r="H154" s="27">
        <v>500</v>
      </c>
      <c r="I154" s="27">
        <v>500</v>
      </c>
      <c r="J154" s="27">
        <v>500</v>
      </c>
      <c r="K154" s="27">
        <v>1000</v>
      </c>
      <c r="L154" s="27">
        <v>1000</v>
      </c>
      <c r="M154" s="27">
        <v>1000</v>
      </c>
      <c r="N154" s="27">
        <v>1000</v>
      </c>
      <c r="O154" s="27">
        <v>1000</v>
      </c>
      <c r="P154" s="27">
        <v>1000</v>
      </c>
      <c r="Q154" s="3">
        <f t="shared" si="8"/>
        <v>9000</v>
      </c>
      <c r="R154" s="39">
        <f>Q154/Summary!$Q$16</f>
        <v>1.1299401435050095E-4</v>
      </c>
      <c r="S154" s="35"/>
      <c r="T154" s="40" t="e">
        <f t="shared" si="7"/>
        <v>#DIV/0!</v>
      </c>
    </row>
    <row r="155" spans="1:20" s="3" customFormat="1" ht="25.4" customHeight="1">
      <c r="A155" s="3" t="s">
        <v>994</v>
      </c>
      <c r="B155" s="3" t="s">
        <v>1009</v>
      </c>
      <c r="D155" s="26" t="s">
        <v>995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>
        <v>65433.03</v>
      </c>
      <c r="P155" s="27">
        <v>65433.03</v>
      </c>
      <c r="Q155" s="3">
        <f t="shared" si="8"/>
        <v>130866.06</v>
      </c>
      <c r="R155" s="39">
        <f>Q155/Summary!$Q$16</f>
        <v>1.6430090512926131E-3</v>
      </c>
      <c r="S155" s="35"/>
      <c r="T155" s="40" t="e">
        <f t="shared" si="7"/>
        <v>#DIV/0!</v>
      </c>
    </row>
    <row r="156" spans="1:20" s="3" customFormat="1" ht="25.4" customHeight="1">
      <c r="A156" s="3" t="s">
        <v>996</v>
      </c>
      <c r="B156" s="3" t="s">
        <v>1009</v>
      </c>
      <c r="D156" s="26" t="s">
        <v>997</v>
      </c>
      <c r="E156" s="27">
        <v>9000</v>
      </c>
      <c r="F156" s="27">
        <v>9000</v>
      </c>
      <c r="G156" s="27">
        <v>9000</v>
      </c>
      <c r="H156" s="27">
        <v>9000</v>
      </c>
      <c r="I156" s="27">
        <v>9000</v>
      </c>
      <c r="J156" s="27">
        <v>9000</v>
      </c>
      <c r="K156" s="27">
        <v>9000</v>
      </c>
      <c r="L156" s="27">
        <v>9000</v>
      </c>
      <c r="M156" s="27">
        <v>9000</v>
      </c>
      <c r="N156" s="27">
        <v>9000</v>
      </c>
      <c r="O156" s="27">
        <v>9000</v>
      </c>
      <c r="P156" s="27">
        <v>9000</v>
      </c>
      <c r="Q156" s="3">
        <f t="shared" si="8"/>
        <v>108000</v>
      </c>
      <c r="R156" s="39">
        <f>Q156/Summary!$Q$16</f>
        <v>1.3559281722060113E-3</v>
      </c>
      <c r="S156" s="35"/>
      <c r="T156" s="40" t="e">
        <f t="shared" si="7"/>
        <v>#DIV/0!</v>
      </c>
    </row>
    <row r="157" spans="1:20" s="3" customFormat="1" ht="25.4" customHeight="1">
      <c r="A157" s="3" t="s">
        <v>595</v>
      </c>
      <c r="B157" s="3" t="s">
        <v>1009</v>
      </c>
      <c r="D157" s="26" t="s">
        <v>596</v>
      </c>
      <c r="E157" s="27">
        <v>500</v>
      </c>
      <c r="F157" s="27">
        <v>500</v>
      </c>
      <c r="G157" s="27">
        <v>500</v>
      </c>
      <c r="H157" s="27">
        <v>500</v>
      </c>
      <c r="I157" s="27">
        <v>500</v>
      </c>
      <c r="J157" s="27">
        <v>500</v>
      </c>
      <c r="K157" s="27">
        <v>1000</v>
      </c>
      <c r="L157" s="27">
        <v>1000</v>
      </c>
      <c r="M157" s="27">
        <v>1000</v>
      </c>
      <c r="N157" s="27">
        <v>1000</v>
      </c>
      <c r="O157" s="27">
        <v>1000</v>
      </c>
      <c r="P157" s="27">
        <v>1000</v>
      </c>
      <c r="Q157" s="3">
        <f t="shared" si="8"/>
        <v>9000</v>
      </c>
      <c r="R157" s="39">
        <f>Q157/Summary!$Q$16</f>
        <v>1.1299401435050095E-4</v>
      </c>
      <c r="S157" s="35"/>
      <c r="T157" s="40" t="e">
        <f t="shared" si="7"/>
        <v>#DIV/0!</v>
      </c>
    </row>
    <row r="158" spans="1:20" s="19" customFormat="1" ht="25.4" customHeight="1">
      <c r="D158" s="21" t="s">
        <v>597</v>
      </c>
      <c r="E158" s="45">
        <f>SUM(E15:E157)</f>
        <v>14104.3</v>
      </c>
      <c r="F158" s="45">
        <f t="shared" ref="F158:Q158" si="9">SUM(F15:F157)</f>
        <v>14069.029999999999</v>
      </c>
      <c r="G158" s="45">
        <f t="shared" si="9"/>
        <v>14062.41</v>
      </c>
      <c r="H158" s="45">
        <f t="shared" si="9"/>
        <v>14068.76</v>
      </c>
      <c r="I158" s="45">
        <f t="shared" si="9"/>
        <v>14064.85</v>
      </c>
      <c r="J158" s="45">
        <f t="shared" si="9"/>
        <v>14044.880000000001</v>
      </c>
      <c r="K158" s="45">
        <f t="shared" si="9"/>
        <v>20038.330000000002</v>
      </c>
      <c r="L158" s="45">
        <f t="shared" si="9"/>
        <v>15039.130000000001</v>
      </c>
      <c r="M158" s="45">
        <f t="shared" si="9"/>
        <v>15043.79</v>
      </c>
      <c r="N158" s="45">
        <f t="shared" si="9"/>
        <v>15062.73</v>
      </c>
      <c r="O158" s="45">
        <f t="shared" si="9"/>
        <v>80469.740000000005</v>
      </c>
      <c r="P158" s="45">
        <f t="shared" si="9"/>
        <v>80467.429999999993</v>
      </c>
      <c r="Q158" s="45">
        <f t="shared" si="9"/>
        <v>310535.38</v>
      </c>
      <c r="R158" s="39">
        <f>Q158/Summary!$Q$16</f>
        <v>3.8987376871175848E-3</v>
      </c>
      <c r="S158" s="35"/>
      <c r="T158" s="40" t="e">
        <f t="shared" si="7"/>
        <v>#DIV/0!</v>
      </c>
    </row>
    <row r="159" spans="1:20" s="19" customFormat="1" ht="24.75" customHeight="1">
      <c r="D159" s="21" t="s">
        <v>598</v>
      </c>
      <c r="E159" s="45">
        <f>+E12+E158</f>
        <v>32254.53</v>
      </c>
      <c r="F159" s="45">
        <f t="shared" ref="F159:P159" si="10">+F12+F158</f>
        <v>32220.5</v>
      </c>
      <c r="G159" s="45">
        <f t="shared" si="10"/>
        <v>32178.959999999999</v>
      </c>
      <c r="H159" s="45">
        <f t="shared" si="10"/>
        <v>32188.550000000003</v>
      </c>
      <c r="I159" s="45">
        <f t="shared" si="10"/>
        <v>32154.480000000003</v>
      </c>
      <c r="J159" s="45">
        <f t="shared" si="10"/>
        <v>32111.82</v>
      </c>
      <c r="K159" s="45">
        <f t="shared" si="10"/>
        <v>38091.089999999997</v>
      </c>
      <c r="L159" s="45">
        <f t="shared" si="10"/>
        <v>33093.68</v>
      </c>
      <c r="M159" s="45">
        <f t="shared" si="10"/>
        <v>33099.910000000003</v>
      </c>
      <c r="N159" s="45">
        <f t="shared" si="10"/>
        <v>33123.78</v>
      </c>
      <c r="O159" s="45">
        <f t="shared" si="10"/>
        <v>98517.48000000001</v>
      </c>
      <c r="P159" s="45">
        <f t="shared" si="10"/>
        <v>98510.84</v>
      </c>
      <c r="Q159" s="45">
        <f t="shared" ref="Q159" si="11">+Q12+Q158</f>
        <v>527545.62</v>
      </c>
      <c r="R159" s="39">
        <f>Q159/Summary!$Q$16</f>
        <v>6.6232774840915467E-3</v>
      </c>
      <c r="S159" s="35"/>
      <c r="T159" s="40" t="e">
        <f t="shared" si="7"/>
        <v>#DIV/0!</v>
      </c>
    </row>
    <row r="160" spans="1:20" s="3" customFormat="1" ht="25.4" hidden="1" customHeight="1">
      <c r="A160" s="77" t="s">
        <v>599</v>
      </c>
      <c r="B160" s="3" t="s">
        <v>1009</v>
      </c>
      <c r="D160" s="42" t="s">
        <v>353</v>
      </c>
      <c r="E160" s="27">
        <f t="shared" ref="E160:Q160" si="12">+E159</f>
        <v>32254.53</v>
      </c>
      <c r="F160" s="27">
        <f t="shared" si="12"/>
        <v>32220.5</v>
      </c>
      <c r="G160" s="27">
        <f t="shared" si="12"/>
        <v>32178.959999999999</v>
      </c>
      <c r="H160" s="27">
        <f t="shared" si="12"/>
        <v>32188.550000000003</v>
      </c>
      <c r="I160" s="27">
        <f t="shared" si="12"/>
        <v>32154.480000000003</v>
      </c>
      <c r="J160" s="27">
        <f t="shared" si="12"/>
        <v>32111.82</v>
      </c>
      <c r="K160" s="27">
        <f t="shared" si="12"/>
        <v>38091.089999999997</v>
      </c>
      <c r="L160" s="27">
        <f t="shared" si="12"/>
        <v>33093.68</v>
      </c>
      <c r="M160" s="27">
        <f t="shared" si="12"/>
        <v>33099.910000000003</v>
      </c>
      <c r="N160" s="27">
        <f t="shared" si="12"/>
        <v>33123.78</v>
      </c>
      <c r="O160" s="27">
        <f t="shared" si="12"/>
        <v>98517.48000000001</v>
      </c>
      <c r="P160" s="27">
        <f t="shared" si="12"/>
        <v>98510.84</v>
      </c>
      <c r="Q160" s="3">
        <f t="shared" si="12"/>
        <v>527545.62</v>
      </c>
      <c r="S160" s="35"/>
      <c r="T160" s="40" t="e">
        <f>IF(Q160-S160=0,0,(Q160-S160)/S160)</f>
        <v>#DIV/0!</v>
      </c>
    </row>
    <row r="161" spans="1:20" s="3" customFormat="1" ht="25.4" customHeight="1">
      <c r="D161" s="42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S161" s="35"/>
      <c r="T161" s="40"/>
    </row>
    <row r="162" spans="1:20" s="3" customFormat="1" ht="25.4" customHeight="1">
      <c r="B162" s="51"/>
      <c r="D162" s="19" t="s">
        <v>602</v>
      </c>
      <c r="E162" s="48"/>
      <c r="F162" s="48"/>
      <c r="G162" s="48"/>
      <c r="H162" s="48"/>
      <c r="I162" s="48"/>
      <c r="S162" s="35"/>
      <c r="T162" s="40"/>
    </row>
    <row r="163" spans="1:20" s="3" customFormat="1" ht="25.4" customHeight="1">
      <c r="B163" s="51"/>
      <c r="D163" s="19" t="s">
        <v>431</v>
      </c>
      <c r="E163" s="48"/>
      <c r="F163" s="48"/>
      <c r="G163" s="48"/>
      <c r="H163" s="48"/>
      <c r="I163" s="48"/>
      <c r="S163" s="35"/>
      <c r="T163" s="40"/>
    </row>
    <row r="164" spans="1:20" s="3" customFormat="1" ht="25.4" customHeight="1">
      <c r="A164" s="253" t="s">
        <v>297</v>
      </c>
      <c r="B164" s="3" t="s">
        <v>1009</v>
      </c>
      <c r="D164" s="26" t="s">
        <v>299</v>
      </c>
      <c r="E164" s="63">
        <v>12500</v>
      </c>
      <c r="F164" s="63">
        <v>12500</v>
      </c>
      <c r="G164" s="63">
        <v>12500</v>
      </c>
      <c r="H164" s="63">
        <v>12500</v>
      </c>
      <c r="I164" s="63">
        <v>12500</v>
      </c>
      <c r="J164" s="63">
        <v>12500</v>
      </c>
      <c r="K164" s="63">
        <v>12500</v>
      </c>
      <c r="L164" s="63">
        <v>12500</v>
      </c>
      <c r="M164" s="63">
        <v>12500</v>
      </c>
      <c r="N164" s="63">
        <v>12500</v>
      </c>
      <c r="O164" s="63">
        <v>12500</v>
      </c>
      <c r="P164" s="63">
        <v>12500</v>
      </c>
      <c r="Q164" s="3">
        <f>SUM(E164:P164)</f>
        <v>150000</v>
      </c>
      <c r="R164" s="39">
        <f>Q164/Summary!$Q$16</f>
        <v>1.8832335725083491E-3</v>
      </c>
      <c r="S164" s="35"/>
      <c r="T164" s="40" t="e">
        <f>-IF(Q164-S164=0,0,(Q164-S164)/S164)</f>
        <v>#DIV/0!</v>
      </c>
    </row>
    <row r="165" spans="1:20" s="3" customFormat="1" ht="25.4" customHeight="1">
      <c r="A165" s="50" t="s">
        <v>300</v>
      </c>
      <c r="B165" s="3" t="s">
        <v>1009</v>
      </c>
      <c r="D165" s="26" t="s">
        <v>434</v>
      </c>
      <c r="E165" s="63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3">
        <f>SUM(E165:P165)</f>
        <v>0</v>
      </c>
      <c r="R165" s="39">
        <f>Q165/Summary!$Q$16</f>
        <v>0</v>
      </c>
      <c r="S165" s="35"/>
      <c r="T165" s="40">
        <f>-IF(Q165-S165=0,0,(Q165-S165)/S165)</f>
        <v>0</v>
      </c>
    </row>
    <row r="166" spans="1:20" s="3" customFormat="1" ht="25.4" customHeight="1">
      <c r="B166" s="51"/>
      <c r="D166" s="21" t="s">
        <v>437</v>
      </c>
      <c r="E166" s="52">
        <f>SUM(E164:E165)</f>
        <v>12500</v>
      </c>
      <c r="F166" s="52">
        <f t="shared" ref="F166:P166" si="13">SUM(F164:F165)</f>
        <v>12500</v>
      </c>
      <c r="G166" s="52">
        <f t="shared" si="13"/>
        <v>12500</v>
      </c>
      <c r="H166" s="52">
        <f t="shared" si="13"/>
        <v>12500</v>
      </c>
      <c r="I166" s="52">
        <f t="shared" si="13"/>
        <v>12500</v>
      </c>
      <c r="J166" s="52">
        <f t="shared" si="13"/>
        <v>12500</v>
      </c>
      <c r="K166" s="52">
        <f t="shared" si="13"/>
        <v>12500</v>
      </c>
      <c r="L166" s="52">
        <f t="shared" si="13"/>
        <v>12500</v>
      </c>
      <c r="M166" s="52">
        <f t="shared" si="13"/>
        <v>12500</v>
      </c>
      <c r="N166" s="52">
        <f t="shared" si="13"/>
        <v>12500</v>
      </c>
      <c r="O166" s="52">
        <f t="shared" si="13"/>
        <v>12500</v>
      </c>
      <c r="P166" s="52">
        <f t="shared" si="13"/>
        <v>12500</v>
      </c>
      <c r="Q166" s="52">
        <f t="shared" ref="Q166" si="14">SUM(Q164:Q165)</f>
        <v>150000</v>
      </c>
      <c r="R166" s="39">
        <f>Q166/Summary!$Q$16</f>
        <v>1.8832335725083491E-3</v>
      </c>
      <c r="S166" s="35"/>
      <c r="T166" s="40" t="e">
        <f>-IF(Q166-S166=0,0,(Q166-S166)/S166)</f>
        <v>#DIV/0!</v>
      </c>
    </row>
    <row r="167" spans="1:20" s="3" customFormat="1" ht="25.4" customHeight="1">
      <c r="B167" s="51"/>
      <c r="E167" s="53"/>
      <c r="F167" s="53"/>
      <c r="G167" s="53"/>
      <c r="S167" s="35"/>
      <c r="T167" s="40"/>
    </row>
    <row r="168" spans="1:20" s="3" customFormat="1" ht="25.4" customHeight="1">
      <c r="A168" s="254" t="s">
        <v>603</v>
      </c>
      <c r="B168" s="3" t="s">
        <v>1009</v>
      </c>
      <c r="D168" s="26" t="s">
        <v>309</v>
      </c>
      <c r="E168" s="63"/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27">
        <v>0</v>
      </c>
      <c r="P168" s="27">
        <v>0</v>
      </c>
      <c r="Q168" s="3">
        <f>SUM(E168:P168)</f>
        <v>0</v>
      </c>
      <c r="R168" s="39">
        <f>Q168/Summary!$Q$16</f>
        <v>0</v>
      </c>
      <c r="S168" s="35"/>
      <c r="T168" s="40">
        <f t="shared" ref="T168:T175" si="15">-IF(Q168-S168=0,0,(Q168-S168)/S168)</f>
        <v>0</v>
      </c>
    </row>
    <row r="169" spans="1:20" s="3" customFormat="1" ht="25.4" customHeight="1">
      <c r="A169" s="54" t="s">
        <v>310</v>
      </c>
      <c r="B169" s="3" t="s">
        <v>1009</v>
      </c>
      <c r="D169" s="26" t="s">
        <v>311</v>
      </c>
      <c r="E169" s="63">
        <v>156.25</v>
      </c>
      <c r="F169" s="63">
        <v>156.25</v>
      </c>
      <c r="G169" s="63">
        <v>156.25</v>
      </c>
      <c r="H169" s="63">
        <v>156.25</v>
      </c>
      <c r="I169" s="63">
        <v>156.25</v>
      </c>
      <c r="J169" s="63">
        <v>156.25</v>
      </c>
      <c r="K169" s="63">
        <v>156.25</v>
      </c>
      <c r="L169" s="63">
        <v>156.25</v>
      </c>
      <c r="M169" s="63">
        <v>156.25</v>
      </c>
      <c r="N169" s="63">
        <v>156.25</v>
      </c>
      <c r="O169" s="63">
        <v>156.25</v>
      </c>
      <c r="P169" s="63">
        <v>156.25</v>
      </c>
      <c r="Q169" s="3">
        <f t="shared" ref="Q169:Q174" si="16">SUM(E169:P169)</f>
        <v>1875</v>
      </c>
      <c r="R169" s="39">
        <f>Q169/Summary!$Q$16</f>
        <v>2.3540419656354363E-5</v>
      </c>
      <c r="S169" s="35"/>
      <c r="T169" s="40" t="e">
        <f t="shared" si="15"/>
        <v>#DIV/0!</v>
      </c>
    </row>
    <row r="170" spans="1:20" s="3" customFormat="1" ht="25.4" customHeight="1">
      <c r="A170" s="254" t="s">
        <v>604</v>
      </c>
      <c r="B170" s="3" t="s">
        <v>1009</v>
      </c>
      <c r="D170" s="26" t="s">
        <v>313</v>
      </c>
      <c r="E170" s="63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3">
        <f t="shared" si="16"/>
        <v>0</v>
      </c>
      <c r="R170" s="39">
        <f>Q170/Summary!$Q$16</f>
        <v>0</v>
      </c>
      <c r="S170" s="35"/>
      <c r="T170" s="40">
        <f t="shared" si="15"/>
        <v>0</v>
      </c>
    </row>
    <row r="171" spans="1:20" s="3" customFormat="1" ht="25.4" customHeight="1">
      <c r="A171" s="254" t="s">
        <v>605</v>
      </c>
      <c r="B171" s="3" t="s">
        <v>1009</v>
      </c>
      <c r="D171" s="26" t="s">
        <v>315</v>
      </c>
      <c r="E171" s="63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3">
        <f t="shared" ref="Q171:Q172" si="17">SUM(E171:P171)</f>
        <v>0</v>
      </c>
      <c r="R171" s="39">
        <f>Q171/Summary!$Q$16</f>
        <v>0</v>
      </c>
      <c r="S171" s="35"/>
      <c r="T171" s="40">
        <f t="shared" ref="T171:T172" si="18">-IF(Q171-S171=0,0,(Q171-S171)/S171)</f>
        <v>0</v>
      </c>
    </row>
    <row r="172" spans="1:20" s="3" customFormat="1" ht="24.75" customHeight="1">
      <c r="A172" s="254" t="s">
        <v>606</v>
      </c>
      <c r="B172" s="3" t="s">
        <v>1009</v>
      </c>
      <c r="D172" s="26" t="s">
        <v>317</v>
      </c>
      <c r="E172" s="63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3">
        <f t="shared" si="17"/>
        <v>0</v>
      </c>
      <c r="R172" s="39">
        <f>Q172/Summary!$Q$16</f>
        <v>0</v>
      </c>
      <c r="S172" s="35"/>
      <c r="T172" s="40">
        <f t="shared" si="18"/>
        <v>0</v>
      </c>
    </row>
    <row r="173" spans="1:20" s="3" customFormat="1" ht="25.4" customHeight="1">
      <c r="A173" s="254" t="s">
        <v>1066</v>
      </c>
      <c r="B173" s="3" t="s">
        <v>1009</v>
      </c>
      <c r="D173" s="26" t="s">
        <v>1131</v>
      </c>
      <c r="E173" s="63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3">
        <f t="shared" si="16"/>
        <v>0</v>
      </c>
      <c r="R173" s="39">
        <f>Q173/Summary!$Q$16</f>
        <v>0</v>
      </c>
      <c r="S173" s="35"/>
      <c r="T173" s="40">
        <f t="shared" si="15"/>
        <v>0</v>
      </c>
    </row>
    <row r="174" spans="1:20" s="3" customFormat="1" ht="24.75" customHeight="1">
      <c r="A174" s="254" t="s">
        <v>1066</v>
      </c>
      <c r="B174" s="3" t="s">
        <v>1009</v>
      </c>
      <c r="D174" s="26" t="s">
        <v>1070</v>
      </c>
      <c r="E174" s="63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3">
        <f t="shared" si="16"/>
        <v>0</v>
      </c>
      <c r="R174" s="39">
        <f>Q174/Summary!$Q$16</f>
        <v>0</v>
      </c>
      <c r="S174" s="35"/>
      <c r="T174" s="40">
        <f t="shared" si="15"/>
        <v>0</v>
      </c>
    </row>
    <row r="175" spans="1:20" s="19" customFormat="1" ht="25.4" customHeight="1">
      <c r="A175" s="54"/>
      <c r="B175" s="51"/>
      <c r="D175" s="19" t="s">
        <v>318</v>
      </c>
      <c r="E175" s="52">
        <f>SUM(E168:E174)</f>
        <v>156.25</v>
      </c>
      <c r="F175" s="52">
        <f t="shared" ref="F175:P175" si="19">SUM(F168:F174)</f>
        <v>156.25</v>
      </c>
      <c r="G175" s="52">
        <f t="shared" si="19"/>
        <v>156.25</v>
      </c>
      <c r="H175" s="52">
        <f t="shared" si="19"/>
        <v>156.25</v>
      </c>
      <c r="I175" s="52">
        <f t="shared" si="19"/>
        <v>156.25</v>
      </c>
      <c r="J175" s="52">
        <f t="shared" si="19"/>
        <v>156.25</v>
      </c>
      <c r="K175" s="52">
        <f t="shared" si="19"/>
        <v>156.25</v>
      </c>
      <c r="L175" s="52">
        <f t="shared" si="19"/>
        <v>156.25</v>
      </c>
      <c r="M175" s="52">
        <f t="shared" si="19"/>
        <v>156.25</v>
      </c>
      <c r="N175" s="52">
        <f t="shared" si="19"/>
        <v>156.25</v>
      </c>
      <c r="O175" s="52">
        <f t="shared" si="19"/>
        <v>156.25</v>
      </c>
      <c r="P175" s="52">
        <f t="shared" si="19"/>
        <v>156.25</v>
      </c>
      <c r="Q175" s="52">
        <f t="shared" ref="Q175" si="20">SUM(Q168:Q174)</f>
        <v>1875</v>
      </c>
      <c r="R175" s="39">
        <f>Q175/Summary!$Q$16</f>
        <v>2.3540419656354363E-5</v>
      </c>
      <c r="S175" s="35"/>
      <c r="T175" s="40" t="e">
        <f t="shared" si="15"/>
        <v>#DIV/0!</v>
      </c>
    </row>
    <row r="176" spans="1:20" s="3" customFormat="1" ht="25.4" customHeight="1">
      <c r="A176" s="50"/>
      <c r="D176" s="19"/>
      <c r="E176" s="53"/>
      <c r="F176" s="53"/>
      <c r="G176" s="53"/>
      <c r="S176" s="35"/>
      <c r="T176" s="40"/>
    </row>
    <row r="177" spans="1:20" s="3" customFormat="1" ht="25.4" customHeight="1">
      <c r="A177" s="254" t="s">
        <v>609</v>
      </c>
      <c r="B177" s="3" t="s">
        <v>1009</v>
      </c>
      <c r="D177" s="26" t="s">
        <v>320</v>
      </c>
      <c r="E177" s="63">
        <v>1875</v>
      </c>
      <c r="F177" s="63">
        <v>1875</v>
      </c>
      <c r="G177" s="63">
        <v>1875</v>
      </c>
      <c r="H177" s="63">
        <v>1875</v>
      </c>
      <c r="I177" s="63">
        <v>1875</v>
      </c>
      <c r="J177" s="63">
        <v>1875</v>
      </c>
      <c r="K177" s="63">
        <v>1875</v>
      </c>
      <c r="L177" s="63">
        <v>1875</v>
      </c>
      <c r="M177" s="63">
        <v>1875</v>
      </c>
      <c r="N177" s="63">
        <v>1875</v>
      </c>
      <c r="O177" s="63">
        <v>1875</v>
      </c>
      <c r="P177" s="63">
        <v>1875</v>
      </c>
      <c r="Q177" s="3">
        <f>SUM(E177:P177)</f>
        <v>22500</v>
      </c>
      <c r="R177" s="39">
        <f>Q177/Summary!$Q$16</f>
        <v>2.8248503587625234E-4</v>
      </c>
      <c r="S177" s="35"/>
      <c r="T177" s="40" t="e">
        <f t="shared" ref="T177:T185" si="21">-IF(Q177-S177=0,0,(Q177-S177)/S177)</f>
        <v>#DIV/0!</v>
      </c>
    </row>
    <row r="178" spans="1:20" s="3" customFormat="1" ht="25.4" customHeight="1">
      <c r="A178" s="254" t="s">
        <v>610</v>
      </c>
      <c r="B178" s="3" t="s">
        <v>1009</v>
      </c>
      <c r="D178" s="26" t="s">
        <v>322</v>
      </c>
      <c r="E178" s="63">
        <v>750</v>
      </c>
      <c r="F178" s="63">
        <v>750</v>
      </c>
      <c r="G178" s="63">
        <v>750</v>
      </c>
      <c r="H178" s="63">
        <v>750</v>
      </c>
      <c r="I178" s="63">
        <v>750</v>
      </c>
      <c r="J178" s="63">
        <v>750</v>
      </c>
      <c r="K178" s="63">
        <v>750</v>
      </c>
      <c r="L178" s="63">
        <v>750</v>
      </c>
      <c r="M178" s="63">
        <v>750</v>
      </c>
      <c r="N178" s="63">
        <v>750</v>
      </c>
      <c r="O178" s="63">
        <v>750</v>
      </c>
      <c r="P178" s="63">
        <v>750</v>
      </c>
      <c r="Q178" s="3">
        <f t="shared" ref="Q178:Q184" si="22">SUM(E178:P178)</f>
        <v>9000</v>
      </c>
      <c r="R178" s="39">
        <f>Q178/Summary!$Q$16</f>
        <v>1.1299401435050095E-4</v>
      </c>
      <c r="S178" s="35"/>
      <c r="T178" s="40" t="e">
        <f t="shared" si="21"/>
        <v>#DIV/0!</v>
      </c>
    </row>
    <row r="179" spans="1:20" s="3" customFormat="1" ht="25.4" customHeight="1">
      <c r="A179" s="254" t="s">
        <v>611</v>
      </c>
      <c r="B179" s="3" t="s">
        <v>1009</v>
      </c>
      <c r="D179" s="26" t="s">
        <v>324</v>
      </c>
      <c r="E179" s="63">
        <v>100</v>
      </c>
      <c r="F179" s="63">
        <v>100</v>
      </c>
      <c r="G179" s="63">
        <v>100</v>
      </c>
      <c r="H179" s="63">
        <v>100</v>
      </c>
      <c r="I179" s="63">
        <v>100</v>
      </c>
      <c r="J179" s="63">
        <v>100</v>
      </c>
      <c r="K179" s="63">
        <v>100</v>
      </c>
      <c r="L179" s="63">
        <v>100</v>
      </c>
      <c r="M179" s="63">
        <v>100</v>
      </c>
      <c r="N179" s="63">
        <v>100</v>
      </c>
      <c r="O179" s="63">
        <v>100</v>
      </c>
      <c r="P179" s="63">
        <v>100</v>
      </c>
      <c r="Q179" s="3">
        <f t="shared" si="22"/>
        <v>1200</v>
      </c>
      <c r="R179" s="39">
        <f>Q179/Summary!$Q$16</f>
        <v>1.5065868580066794E-5</v>
      </c>
      <c r="S179" s="35"/>
      <c r="T179" s="40" t="e">
        <f t="shared" si="21"/>
        <v>#DIV/0!</v>
      </c>
    </row>
    <row r="180" spans="1:20" s="3" customFormat="1" ht="25.4" customHeight="1">
      <c r="A180" s="254" t="s">
        <v>612</v>
      </c>
      <c r="B180" s="3" t="s">
        <v>1009</v>
      </c>
      <c r="D180" s="26" t="s">
        <v>326</v>
      </c>
      <c r="E180" s="63">
        <v>50</v>
      </c>
      <c r="F180" s="63">
        <v>50</v>
      </c>
      <c r="G180" s="63">
        <v>50</v>
      </c>
      <c r="H180" s="63">
        <v>50</v>
      </c>
      <c r="I180" s="63">
        <v>50</v>
      </c>
      <c r="J180" s="63">
        <v>50</v>
      </c>
      <c r="K180" s="63">
        <v>50</v>
      </c>
      <c r="L180" s="63">
        <v>50</v>
      </c>
      <c r="M180" s="63">
        <v>50</v>
      </c>
      <c r="N180" s="63">
        <v>50</v>
      </c>
      <c r="O180" s="63">
        <v>50</v>
      </c>
      <c r="P180" s="63">
        <v>50</v>
      </c>
      <c r="Q180" s="3">
        <f t="shared" si="22"/>
        <v>600</v>
      </c>
      <c r="R180" s="39">
        <f>Q180/Summary!$Q$16</f>
        <v>7.5329342900333968E-6</v>
      </c>
      <c r="S180" s="35"/>
      <c r="T180" s="40" t="e">
        <f t="shared" si="21"/>
        <v>#DIV/0!</v>
      </c>
    </row>
    <row r="181" spans="1:20" s="3" customFormat="1" ht="25.4" customHeight="1">
      <c r="A181" s="254" t="s">
        <v>613</v>
      </c>
      <c r="B181" s="3" t="s">
        <v>1009</v>
      </c>
      <c r="D181" s="26" t="s">
        <v>328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3">
        <f t="shared" si="22"/>
        <v>0</v>
      </c>
      <c r="R181" s="39">
        <f>Q181/Summary!$Q$16</f>
        <v>0</v>
      </c>
      <c r="S181" s="35"/>
      <c r="T181" s="40">
        <f t="shared" si="21"/>
        <v>0</v>
      </c>
    </row>
    <row r="182" spans="1:20" s="3" customFormat="1" ht="25.4" customHeight="1">
      <c r="A182" s="254" t="s">
        <v>614</v>
      </c>
      <c r="B182" s="3" t="s">
        <v>1009</v>
      </c>
      <c r="D182" s="26" t="s">
        <v>330</v>
      </c>
      <c r="E182" s="63">
        <v>1000</v>
      </c>
      <c r="F182" s="63">
        <v>1000</v>
      </c>
      <c r="G182" s="63">
        <v>1000</v>
      </c>
      <c r="H182" s="63">
        <v>1000</v>
      </c>
      <c r="I182" s="63">
        <v>1000</v>
      </c>
      <c r="J182" s="63">
        <v>1000</v>
      </c>
      <c r="K182" s="63">
        <v>1000</v>
      </c>
      <c r="L182" s="63">
        <v>1000</v>
      </c>
      <c r="M182" s="63">
        <v>1000</v>
      </c>
      <c r="N182" s="63">
        <v>1000</v>
      </c>
      <c r="O182" s="63">
        <v>1000</v>
      </c>
      <c r="P182" s="63">
        <v>1000</v>
      </c>
      <c r="Q182" s="3">
        <f t="shared" si="22"/>
        <v>12000</v>
      </c>
      <c r="R182" s="39">
        <f>Q182/Summary!$Q$16</f>
        <v>1.5065868580066793E-4</v>
      </c>
      <c r="S182" s="35"/>
      <c r="T182" s="40" t="e">
        <f t="shared" si="21"/>
        <v>#DIV/0!</v>
      </c>
    </row>
    <row r="183" spans="1:20" s="3" customFormat="1" ht="25.4" customHeight="1">
      <c r="A183" s="254" t="s">
        <v>615</v>
      </c>
      <c r="B183" s="3" t="s">
        <v>1009</v>
      </c>
      <c r="D183" s="26" t="s">
        <v>332</v>
      </c>
      <c r="E183" s="63">
        <v>250</v>
      </c>
      <c r="F183" s="63">
        <v>250</v>
      </c>
      <c r="G183" s="63">
        <v>250</v>
      </c>
      <c r="H183" s="63">
        <v>250</v>
      </c>
      <c r="I183" s="63">
        <v>250</v>
      </c>
      <c r="J183" s="63">
        <v>250</v>
      </c>
      <c r="K183" s="63">
        <v>250</v>
      </c>
      <c r="L183" s="63">
        <v>250</v>
      </c>
      <c r="M183" s="63">
        <v>250</v>
      </c>
      <c r="N183" s="63">
        <v>250</v>
      </c>
      <c r="O183" s="63">
        <v>250</v>
      </c>
      <c r="P183" s="63">
        <v>250</v>
      </c>
      <c r="Q183" s="3">
        <f t="shared" si="22"/>
        <v>3000</v>
      </c>
      <c r="R183" s="39">
        <f>Q183/Summary!$Q$16</f>
        <v>3.7664671450166982E-5</v>
      </c>
      <c r="S183" s="35"/>
      <c r="T183" s="40" t="e">
        <f t="shared" si="21"/>
        <v>#DIV/0!</v>
      </c>
    </row>
    <row r="184" spans="1:20" s="3" customFormat="1" ht="25.4" customHeight="1">
      <c r="A184" s="254" t="s">
        <v>616</v>
      </c>
      <c r="B184" s="3" t="s">
        <v>1009</v>
      </c>
      <c r="D184" s="26" t="s">
        <v>334</v>
      </c>
      <c r="E184" s="63"/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3">
        <f t="shared" si="22"/>
        <v>0</v>
      </c>
      <c r="R184" s="39">
        <f>Q184/Summary!$Q$16</f>
        <v>0</v>
      </c>
      <c r="S184" s="35"/>
      <c r="T184" s="40">
        <f t="shared" si="21"/>
        <v>0</v>
      </c>
    </row>
    <row r="185" spans="1:20" s="19" customFormat="1" ht="25.4" customHeight="1">
      <c r="A185" s="54"/>
      <c r="B185" s="51"/>
      <c r="D185" s="19" t="s">
        <v>335</v>
      </c>
      <c r="E185" s="45">
        <f>SUM(E177:E184)</f>
        <v>4025</v>
      </c>
      <c r="F185" s="45">
        <f t="shared" ref="F185:P185" si="23">SUM(F177:F184)</f>
        <v>4025</v>
      </c>
      <c r="G185" s="45">
        <f t="shared" si="23"/>
        <v>4025</v>
      </c>
      <c r="H185" s="45">
        <f t="shared" si="23"/>
        <v>4025</v>
      </c>
      <c r="I185" s="45">
        <f t="shared" si="23"/>
        <v>4025</v>
      </c>
      <c r="J185" s="45">
        <f t="shared" si="23"/>
        <v>4025</v>
      </c>
      <c r="K185" s="45">
        <f t="shared" si="23"/>
        <v>4025</v>
      </c>
      <c r="L185" s="45">
        <f t="shared" si="23"/>
        <v>4025</v>
      </c>
      <c r="M185" s="45">
        <f t="shared" si="23"/>
        <v>4025</v>
      </c>
      <c r="N185" s="45">
        <f t="shared" si="23"/>
        <v>4025</v>
      </c>
      <c r="O185" s="45">
        <f t="shared" si="23"/>
        <v>4025</v>
      </c>
      <c r="P185" s="45">
        <f t="shared" si="23"/>
        <v>4025</v>
      </c>
      <c r="Q185" s="45">
        <f t="shared" ref="Q185" si="24">SUM(Q177:Q184)</f>
        <v>48300</v>
      </c>
      <c r="R185" s="39">
        <f>Q185/Summary!$Q$16</f>
        <v>6.0640121034768839E-4</v>
      </c>
      <c r="S185" s="35"/>
      <c r="T185" s="40" t="e">
        <f t="shared" si="21"/>
        <v>#DIV/0!</v>
      </c>
    </row>
    <row r="186" spans="1:20" s="19" customFormat="1" ht="25.4" customHeight="1">
      <c r="A186" s="54"/>
      <c r="B186" s="51"/>
      <c r="D186" s="21"/>
      <c r="E186" s="55"/>
      <c r="F186" s="55"/>
      <c r="G186" s="55"/>
      <c r="S186" s="35"/>
      <c r="T186" s="40"/>
    </row>
    <row r="187" spans="1:20" s="3" customFormat="1" ht="25.4" hidden="1" customHeight="1">
      <c r="A187" s="254" t="s">
        <v>617</v>
      </c>
      <c r="B187" s="3" t="s">
        <v>1009</v>
      </c>
      <c r="D187" s="26" t="s">
        <v>337</v>
      </c>
      <c r="E187" s="63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0</v>
      </c>
      <c r="P187" s="27">
        <v>0</v>
      </c>
      <c r="Q187" s="3">
        <f>SUM(E187:P187)</f>
        <v>0</v>
      </c>
      <c r="R187" s="39">
        <f>Q187/Summary!$Q$16</f>
        <v>0</v>
      </c>
      <c r="S187" s="35"/>
      <c r="T187" s="40">
        <f t="shared" ref="T187:T195" si="25">-IF(Q187-S187=0,0,(Q187-S187)/S187)</f>
        <v>0</v>
      </c>
    </row>
    <row r="188" spans="1:20" s="3" customFormat="1" ht="25.4" hidden="1" customHeight="1">
      <c r="A188" s="254" t="s">
        <v>618</v>
      </c>
      <c r="B188" s="3" t="s">
        <v>1009</v>
      </c>
      <c r="D188" s="3" t="s">
        <v>339</v>
      </c>
      <c r="E188" s="63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3">
        <f t="shared" ref="Q188:Q193" si="26">SUM(E188:P188)</f>
        <v>0</v>
      </c>
      <c r="R188" s="39">
        <f>Q188/Summary!$Q$16</f>
        <v>0</v>
      </c>
      <c r="S188" s="35"/>
      <c r="T188" s="40">
        <f t="shared" si="25"/>
        <v>0</v>
      </c>
    </row>
    <row r="189" spans="1:20" s="3" customFormat="1" ht="25.4" hidden="1" customHeight="1">
      <c r="A189" s="254" t="s">
        <v>619</v>
      </c>
      <c r="B189" s="3" t="s">
        <v>1009</v>
      </c>
      <c r="D189" s="26" t="s">
        <v>341</v>
      </c>
      <c r="E189" s="63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3">
        <f t="shared" si="26"/>
        <v>0</v>
      </c>
      <c r="R189" s="39">
        <f>Q189/Summary!$Q$16</f>
        <v>0</v>
      </c>
      <c r="S189" s="35"/>
      <c r="T189" s="40">
        <f t="shared" si="25"/>
        <v>0</v>
      </c>
    </row>
    <row r="190" spans="1:20" s="3" customFormat="1" ht="25.4" hidden="1" customHeight="1">
      <c r="A190" s="254" t="s">
        <v>620</v>
      </c>
      <c r="B190" s="3" t="s">
        <v>1009</v>
      </c>
      <c r="D190" s="26" t="s">
        <v>343</v>
      </c>
      <c r="E190" s="63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3">
        <f t="shared" si="26"/>
        <v>0</v>
      </c>
      <c r="R190" s="39">
        <f>Q190/Summary!$Q$16</f>
        <v>0</v>
      </c>
      <c r="S190" s="35"/>
      <c r="T190" s="40">
        <f t="shared" si="25"/>
        <v>0</v>
      </c>
    </row>
    <row r="191" spans="1:20" s="3" customFormat="1" ht="25.4" customHeight="1">
      <c r="A191" s="254" t="s">
        <v>621</v>
      </c>
      <c r="B191" s="3" t="s">
        <v>1009</v>
      </c>
      <c r="D191" s="26" t="s">
        <v>345</v>
      </c>
      <c r="E191" s="63">
        <v>60</v>
      </c>
      <c r="F191" s="63">
        <v>80</v>
      </c>
      <c r="G191" s="63">
        <v>60</v>
      </c>
      <c r="H191" s="63">
        <v>60</v>
      </c>
      <c r="I191" s="63">
        <v>60</v>
      </c>
      <c r="J191" s="63">
        <v>60</v>
      </c>
      <c r="K191" s="63">
        <v>60</v>
      </c>
      <c r="L191" s="63">
        <v>60</v>
      </c>
      <c r="M191" s="63">
        <v>60</v>
      </c>
      <c r="N191" s="63">
        <v>60</v>
      </c>
      <c r="O191" s="63">
        <v>60</v>
      </c>
      <c r="P191" s="63">
        <v>60</v>
      </c>
      <c r="Q191" s="3">
        <f t="shared" si="26"/>
        <v>740</v>
      </c>
      <c r="R191" s="39">
        <f>Q191/Summary!$Q$16</f>
        <v>9.2906189577078558E-6</v>
      </c>
      <c r="S191" s="35"/>
      <c r="T191" s="40" t="e">
        <f t="shared" si="25"/>
        <v>#DIV/0!</v>
      </c>
    </row>
    <row r="192" spans="1:20" s="3" customFormat="1" ht="25.4" customHeight="1">
      <c r="A192" s="254" t="s">
        <v>346</v>
      </c>
      <c r="B192" s="3" t="s">
        <v>1009</v>
      </c>
      <c r="D192" s="26" t="s">
        <v>347</v>
      </c>
      <c r="E192" s="63">
        <v>355.73</v>
      </c>
      <c r="F192" s="63">
        <v>354.33</v>
      </c>
      <c r="G192" s="63">
        <v>352.94</v>
      </c>
      <c r="H192" s="63">
        <v>351.56</v>
      </c>
      <c r="I192" s="63">
        <v>342.21</v>
      </c>
      <c r="J192" s="63">
        <v>337.08</v>
      </c>
      <c r="K192" s="63">
        <v>330.88</v>
      </c>
      <c r="L192" s="63">
        <v>330.88</v>
      </c>
      <c r="M192" s="63">
        <v>328.47</v>
      </c>
      <c r="N192" s="63">
        <v>326.08999999999997</v>
      </c>
      <c r="O192" s="63">
        <v>324.91000000000003</v>
      </c>
      <c r="P192" s="63">
        <v>323.74</v>
      </c>
      <c r="Q192" s="3">
        <f t="shared" si="26"/>
        <v>4058.8199999999997</v>
      </c>
      <c r="R192" s="39">
        <f>Q192/Summary!$Q$16</f>
        <v>5.0958040591788911E-5</v>
      </c>
      <c r="S192" s="35"/>
      <c r="T192" s="40" t="e">
        <f t="shared" si="25"/>
        <v>#DIV/0!</v>
      </c>
    </row>
    <row r="193" spans="1:21" s="3" customFormat="1" ht="25.4" customHeight="1">
      <c r="A193" s="3" t="s">
        <v>624</v>
      </c>
      <c r="B193" s="3" t="s">
        <v>1009</v>
      </c>
      <c r="D193" s="26" t="s">
        <v>349</v>
      </c>
      <c r="E193" s="63">
        <v>1053.25</v>
      </c>
      <c r="F193" s="63">
        <v>1035.8900000000001</v>
      </c>
      <c r="G193" s="63">
        <v>1022.36</v>
      </c>
      <c r="H193" s="63">
        <v>1026.98</v>
      </c>
      <c r="I193" s="63">
        <v>1006.17</v>
      </c>
      <c r="J193" s="63">
        <v>988.61</v>
      </c>
      <c r="K193" s="63">
        <v>980.63</v>
      </c>
      <c r="L193" s="63">
        <v>982.42</v>
      </c>
      <c r="M193" s="63">
        <v>986.4</v>
      </c>
      <c r="N193" s="63">
        <v>993.71</v>
      </c>
      <c r="O193" s="63">
        <v>981.58</v>
      </c>
      <c r="P193" s="63">
        <v>978.42</v>
      </c>
      <c r="Q193" s="3">
        <f t="shared" si="26"/>
        <v>12036.420000000002</v>
      </c>
      <c r="R193" s="39">
        <f>Q193/Summary!$Q$16</f>
        <v>1.5111593491207298E-4</v>
      </c>
      <c r="S193" s="35"/>
      <c r="T193" s="40" t="e">
        <f t="shared" si="25"/>
        <v>#DIV/0!</v>
      </c>
    </row>
    <row r="194" spans="1:21" s="3" customFormat="1" ht="25.4" customHeight="1">
      <c r="A194" s="54"/>
      <c r="B194" s="51"/>
      <c r="D194" s="19" t="s">
        <v>350</v>
      </c>
      <c r="E194" s="52">
        <f>SUM(E187:E193)</f>
        <v>1468.98</v>
      </c>
      <c r="F194" s="52">
        <f t="shared" ref="F194:P194" si="27">SUM(F187:F193)</f>
        <v>1470.22</v>
      </c>
      <c r="G194" s="52">
        <f t="shared" si="27"/>
        <v>1435.3</v>
      </c>
      <c r="H194" s="52">
        <f t="shared" si="27"/>
        <v>1438.54</v>
      </c>
      <c r="I194" s="52">
        <f t="shared" si="27"/>
        <v>1408.3799999999999</v>
      </c>
      <c r="J194" s="52">
        <f t="shared" si="27"/>
        <v>1385.69</v>
      </c>
      <c r="K194" s="52">
        <f t="shared" si="27"/>
        <v>1371.51</v>
      </c>
      <c r="L194" s="52">
        <f t="shared" si="27"/>
        <v>1373.3</v>
      </c>
      <c r="M194" s="52">
        <f t="shared" si="27"/>
        <v>1374.87</v>
      </c>
      <c r="N194" s="52">
        <f t="shared" si="27"/>
        <v>1379.8</v>
      </c>
      <c r="O194" s="52">
        <f t="shared" si="27"/>
        <v>1366.49</v>
      </c>
      <c r="P194" s="52">
        <f t="shared" si="27"/>
        <v>1362.1599999999999</v>
      </c>
      <c r="Q194" s="52">
        <f t="shared" ref="Q194" si="28">SUM(Q187:Q193)</f>
        <v>16835.240000000002</v>
      </c>
      <c r="R194" s="39">
        <f>Q194/Summary!$Q$16</f>
        <v>2.1136459446156975E-4</v>
      </c>
      <c r="S194" s="35"/>
      <c r="T194" s="40" t="e">
        <f t="shared" si="25"/>
        <v>#DIV/0!</v>
      </c>
    </row>
    <row r="195" spans="1:21" s="3" customFormat="1" ht="25.4" customHeight="1">
      <c r="A195" s="54"/>
      <c r="B195" s="51"/>
      <c r="D195" s="19" t="s">
        <v>351</v>
      </c>
      <c r="E195" s="52">
        <f>E166+E175+E185+E194</f>
        <v>18150.23</v>
      </c>
      <c r="F195" s="52">
        <f t="shared" ref="F195:Q195" si="29">F166+F175+F185+F194</f>
        <v>18151.47</v>
      </c>
      <c r="G195" s="52">
        <f t="shared" si="29"/>
        <v>18116.55</v>
      </c>
      <c r="H195" s="52">
        <f t="shared" si="29"/>
        <v>18119.79</v>
      </c>
      <c r="I195" s="52">
        <f t="shared" si="29"/>
        <v>18089.63</v>
      </c>
      <c r="J195" s="52">
        <f t="shared" si="29"/>
        <v>18066.939999999999</v>
      </c>
      <c r="K195" s="52">
        <f t="shared" si="29"/>
        <v>18052.759999999998</v>
      </c>
      <c r="L195" s="52">
        <f t="shared" si="29"/>
        <v>18054.55</v>
      </c>
      <c r="M195" s="52">
        <f t="shared" si="29"/>
        <v>18056.12</v>
      </c>
      <c r="N195" s="52">
        <f t="shared" si="29"/>
        <v>18061.05</v>
      </c>
      <c r="O195" s="52">
        <f t="shared" si="29"/>
        <v>18047.740000000002</v>
      </c>
      <c r="P195" s="52">
        <f t="shared" si="29"/>
        <v>18043.41</v>
      </c>
      <c r="Q195" s="52">
        <f t="shared" si="29"/>
        <v>217010.24</v>
      </c>
      <c r="R195" s="39">
        <f>Q195/Summary!$Q$16</f>
        <v>2.7245397969739614E-3</v>
      </c>
      <c r="S195" s="35"/>
      <c r="T195" s="40" t="e">
        <f t="shared" si="25"/>
        <v>#DIV/0!</v>
      </c>
    </row>
    <row r="196" spans="1:21" s="3" customFormat="1" ht="25.4" customHeight="1">
      <c r="A196" s="54"/>
      <c r="B196" s="51"/>
      <c r="D196" s="21"/>
      <c r="E196" s="53"/>
      <c r="F196" s="53"/>
      <c r="G196" s="53"/>
      <c r="S196" s="35"/>
      <c r="T196" s="40"/>
    </row>
    <row r="197" spans="1:21" s="3" customFormat="1" ht="25.4" customHeight="1">
      <c r="A197" s="50" t="s">
        <v>108</v>
      </c>
      <c r="B197" s="3" t="s">
        <v>1009</v>
      </c>
      <c r="D197" s="19" t="s">
        <v>354</v>
      </c>
      <c r="E197" s="278">
        <v>1</v>
      </c>
      <c r="F197" s="278">
        <v>1</v>
      </c>
      <c r="G197" s="278">
        <v>1</v>
      </c>
      <c r="H197" s="278">
        <v>1</v>
      </c>
      <c r="I197" s="278">
        <v>1</v>
      </c>
      <c r="J197" s="278">
        <v>1</v>
      </c>
      <c r="K197" s="278">
        <v>1</v>
      </c>
      <c r="L197" s="278">
        <v>1</v>
      </c>
      <c r="M197" s="278">
        <v>1</v>
      </c>
      <c r="N197" s="278">
        <v>1</v>
      </c>
      <c r="O197" s="278">
        <v>1</v>
      </c>
      <c r="P197" s="278">
        <v>1</v>
      </c>
      <c r="Q197" s="78">
        <f>SUM(E197:P197)/12</f>
        <v>1</v>
      </c>
      <c r="S197" s="35"/>
      <c r="T197" s="40" t="e">
        <f>-IF(Q197-S197=0,0,(Q197-S197)/S197)</f>
        <v>#DIV/0!</v>
      </c>
    </row>
    <row r="202" spans="1:21" s="328" customFormat="1" ht="26.25" customHeight="1">
      <c r="D202" s="329"/>
      <c r="E202" s="330"/>
      <c r="F202" s="330"/>
      <c r="G202" s="330"/>
      <c r="H202" s="330"/>
      <c r="I202" s="330"/>
      <c r="S202" s="331"/>
      <c r="U202" s="3"/>
    </row>
    <row r="203" spans="1:21" s="328" customFormat="1" ht="26.25" customHeight="1">
      <c r="D203" s="329"/>
      <c r="E203" s="330"/>
      <c r="F203" s="330"/>
      <c r="G203" s="330"/>
      <c r="H203" s="330"/>
      <c r="I203" s="330"/>
      <c r="S203" s="331"/>
      <c r="U203" s="3"/>
    </row>
    <row r="204" spans="1:21" s="328" customFormat="1" ht="26.25" customHeight="1">
      <c r="D204" s="338" t="s">
        <v>1185</v>
      </c>
      <c r="E204" s="330"/>
      <c r="F204" s="330"/>
      <c r="G204" s="330"/>
      <c r="H204" s="330"/>
      <c r="I204" s="330"/>
      <c r="S204" s="331"/>
      <c r="U204" s="3"/>
    </row>
    <row r="205" spans="1:21" s="328" customFormat="1" ht="26.25" customHeight="1">
      <c r="D205" s="332" t="s">
        <v>1179</v>
      </c>
      <c r="E205" s="330">
        <v>450</v>
      </c>
      <c r="F205" s="330">
        <v>450</v>
      </c>
      <c r="G205" s="330">
        <v>450</v>
      </c>
      <c r="H205" s="330">
        <v>450</v>
      </c>
      <c r="I205" s="330">
        <v>450</v>
      </c>
      <c r="J205" s="330">
        <v>450</v>
      </c>
      <c r="K205" s="330">
        <v>450</v>
      </c>
      <c r="L205" s="330">
        <v>450</v>
      </c>
      <c r="M205" s="330">
        <v>450</v>
      </c>
      <c r="N205" s="330">
        <v>450</v>
      </c>
      <c r="O205" s="330">
        <v>450</v>
      </c>
      <c r="P205" s="330">
        <v>450</v>
      </c>
      <c r="Q205" s="328">
        <f>SUM(E205:P205)</f>
        <v>5400</v>
      </c>
      <c r="S205" s="331"/>
      <c r="U205" s="3"/>
    </row>
    <row r="206" spans="1:21" s="328" customFormat="1" ht="26.25" customHeight="1">
      <c r="D206" s="332" t="s">
        <v>1180</v>
      </c>
      <c r="E206" s="330">
        <v>380</v>
      </c>
      <c r="F206" s="330">
        <v>380</v>
      </c>
      <c r="G206" s="330">
        <v>380</v>
      </c>
      <c r="H206" s="330">
        <v>380</v>
      </c>
      <c r="I206" s="330">
        <v>380</v>
      </c>
      <c r="J206" s="330">
        <v>380</v>
      </c>
      <c r="K206" s="330">
        <v>380</v>
      </c>
      <c r="L206" s="330">
        <v>380</v>
      </c>
      <c r="M206" s="330">
        <v>380</v>
      </c>
      <c r="N206" s="330">
        <v>380</v>
      </c>
      <c r="O206" s="330">
        <v>380</v>
      </c>
      <c r="P206" s="330">
        <v>380</v>
      </c>
      <c r="Q206" s="328">
        <f>SUM(E206:P206)</f>
        <v>4560</v>
      </c>
      <c r="S206" s="331"/>
      <c r="U206" s="3"/>
    </row>
    <row r="207" spans="1:21" s="328" customFormat="1" ht="26.25" customHeight="1">
      <c r="D207" s="332" t="s">
        <v>1178</v>
      </c>
      <c r="E207" s="330">
        <v>380</v>
      </c>
      <c r="F207" s="330">
        <v>380</v>
      </c>
      <c r="G207" s="330">
        <v>380</v>
      </c>
      <c r="H207" s="330">
        <v>380</v>
      </c>
      <c r="I207" s="330">
        <v>380</v>
      </c>
      <c r="J207" s="330">
        <v>380</v>
      </c>
      <c r="K207" s="330">
        <v>380</v>
      </c>
      <c r="L207" s="330">
        <v>380</v>
      </c>
      <c r="M207" s="330">
        <v>380</v>
      </c>
      <c r="N207" s="330">
        <v>380</v>
      </c>
      <c r="O207" s="330">
        <v>380</v>
      </c>
      <c r="P207" s="330">
        <v>380</v>
      </c>
      <c r="Q207" s="328">
        <f>SUM(E207:P207)</f>
        <v>4560</v>
      </c>
      <c r="S207" s="331"/>
      <c r="U207" s="3"/>
    </row>
    <row r="208" spans="1:21" s="328" customFormat="1" ht="26.25" customHeight="1">
      <c r="D208" s="332" t="s">
        <v>1176</v>
      </c>
      <c r="E208" s="330">
        <v>580</v>
      </c>
      <c r="F208" s="330">
        <v>580</v>
      </c>
      <c r="G208" s="330">
        <v>580</v>
      </c>
      <c r="H208" s="330">
        <v>580</v>
      </c>
      <c r="I208" s="330">
        <v>580</v>
      </c>
      <c r="J208" s="330">
        <v>580</v>
      </c>
      <c r="K208" s="330">
        <v>580</v>
      </c>
      <c r="L208" s="330">
        <v>580</v>
      </c>
      <c r="M208" s="330">
        <v>580</v>
      </c>
      <c r="N208" s="330">
        <v>580</v>
      </c>
      <c r="O208" s="330">
        <v>580</v>
      </c>
      <c r="P208" s="330">
        <v>580</v>
      </c>
      <c r="Q208" s="328">
        <f>SUM(E208:P208)</f>
        <v>6960</v>
      </c>
      <c r="S208" s="331"/>
      <c r="U208" s="3"/>
    </row>
    <row r="209" spans="4:21" s="328" customFormat="1" ht="26.25" customHeight="1">
      <c r="D209" s="332" t="s">
        <v>1177</v>
      </c>
      <c r="E209" s="330">
        <v>580</v>
      </c>
      <c r="F209" s="330">
        <v>580</v>
      </c>
      <c r="G209" s="330">
        <v>580</v>
      </c>
      <c r="H209" s="330">
        <v>580</v>
      </c>
      <c r="I209" s="330">
        <v>580</v>
      </c>
      <c r="J209" s="330">
        <v>580</v>
      </c>
      <c r="K209" s="330">
        <v>580</v>
      </c>
      <c r="L209" s="330">
        <v>580</v>
      </c>
      <c r="M209" s="330">
        <v>580</v>
      </c>
      <c r="N209" s="330">
        <v>580</v>
      </c>
      <c r="O209" s="330">
        <v>580</v>
      </c>
      <c r="P209" s="330">
        <v>580</v>
      </c>
      <c r="Q209" s="328">
        <f>SUM(E209:P209)</f>
        <v>6960</v>
      </c>
      <c r="S209" s="331"/>
      <c r="U209" s="3"/>
    </row>
    <row r="210" spans="4:21" s="328" customFormat="1" ht="26.25" customHeight="1">
      <c r="D210" s="332" t="s">
        <v>1181</v>
      </c>
      <c r="E210" s="330">
        <v>580</v>
      </c>
      <c r="F210" s="330">
        <v>580</v>
      </c>
      <c r="G210" s="330">
        <v>580</v>
      </c>
      <c r="H210" s="330">
        <v>580</v>
      </c>
      <c r="I210" s="330">
        <v>580</v>
      </c>
      <c r="J210" s="330">
        <v>580</v>
      </c>
      <c r="K210" s="330">
        <v>580</v>
      </c>
      <c r="L210" s="330">
        <v>580</v>
      </c>
      <c r="M210" s="330">
        <v>580</v>
      </c>
      <c r="N210" s="330">
        <v>580</v>
      </c>
      <c r="O210" s="330">
        <v>580</v>
      </c>
      <c r="P210" s="330">
        <v>580</v>
      </c>
      <c r="Q210" s="328">
        <f t="shared" ref="Q210" si="30">SUM(E210:P210)</f>
        <v>6960</v>
      </c>
      <c r="S210" s="331"/>
      <c r="U210" s="3"/>
    </row>
    <row r="211" spans="4:21" s="328" customFormat="1" ht="26.25" customHeight="1">
      <c r="D211" s="332" t="s">
        <v>1182</v>
      </c>
      <c r="E211" s="330">
        <v>380</v>
      </c>
      <c r="F211" s="330">
        <v>380</v>
      </c>
      <c r="G211" s="330">
        <v>380</v>
      </c>
      <c r="H211" s="330">
        <v>380</v>
      </c>
      <c r="I211" s="330">
        <v>380</v>
      </c>
      <c r="J211" s="330">
        <v>380</v>
      </c>
      <c r="K211" s="330">
        <v>380</v>
      </c>
      <c r="L211" s="330">
        <v>380</v>
      </c>
      <c r="M211" s="330">
        <v>380</v>
      </c>
      <c r="N211" s="330">
        <v>380</v>
      </c>
      <c r="O211" s="330">
        <v>380</v>
      </c>
      <c r="P211" s="330">
        <v>380</v>
      </c>
      <c r="Q211" s="328">
        <f>SUM(E211:P211)</f>
        <v>4560</v>
      </c>
      <c r="S211" s="331"/>
      <c r="U211" s="3"/>
    </row>
    <row r="212" spans="4:21" s="333" customFormat="1" ht="26.25" customHeight="1">
      <c r="D212" s="334" t="s">
        <v>1183</v>
      </c>
      <c r="E212" s="335">
        <f t="shared" ref="E212:P212" si="31">SUM(E208:E211)</f>
        <v>2120</v>
      </c>
      <c r="F212" s="335">
        <f t="shared" si="31"/>
        <v>2120</v>
      </c>
      <c r="G212" s="335">
        <f t="shared" si="31"/>
        <v>2120</v>
      </c>
      <c r="H212" s="335">
        <f t="shared" si="31"/>
        <v>2120</v>
      </c>
      <c r="I212" s="335">
        <f t="shared" si="31"/>
        <v>2120</v>
      </c>
      <c r="J212" s="335">
        <f t="shared" si="31"/>
        <v>2120</v>
      </c>
      <c r="K212" s="335">
        <f t="shared" si="31"/>
        <v>2120</v>
      </c>
      <c r="L212" s="335">
        <f t="shared" si="31"/>
        <v>2120</v>
      </c>
      <c r="M212" s="335">
        <f t="shared" si="31"/>
        <v>2120</v>
      </c>
      <c r="N212" s="335">
        <f t="shared" si="31"/>
        <v>2120</v>
      </c>
      <c r="O212" s="335">
        <f t="shared" si="31"/>
        <v>2120</v>
      </c>
      <c r="P212" s="335">
        <f t="shared" si="31"/>
        <v>2120</v>
      </c>
      <c r="Q212" s="335">
        <f>SUM(E212:P212)</f>
        <v>25440</v>
      </c>
      <c r="S212" s="336"/>
      <c r="U212" s="19"/>
    </row>
    <row r="213" spans="4:21" s="333" customFormat="1" ht="26.25" customHeight="1">
      <c r="D213" s="334" t="s">
        <v>1184</v>
      </c>
      <c r="E213" s="335">
        <f>40000/12</f>
        <v>3333.3333333333335</v>
      </c>
      <c r="F213" s="335">
        <f t="shared" ref="F213:P213" si="32">40000/12</f>
        <v>3333.3333333333335</v>
      </c>
      <c r="G213" s="335">
        <f t="shared" si="32"/>
        <v>3333.3333333333335</v>
      </c>
      <c r="H213" s="335">
        <f t="shared" si="32"/>
        <v>3333.3333333333335</v>
      </c>
      <c r="I213" s="335">
        <f t="shared" si="32"/>
        <v>3333.3333333333335</v>
      </c>
      <c r="J213" s="335">
        <f t="shared" si="32"/>
        <v>3333.3333333333335</v>
      </c>
      <c r="K213" s="335">
        <f t="shared" si="32"/>
        <v>3333.3333333333335</v>
      </c>
      <c r="L213" s="335">
        <f t="shared" si="32"/>
        <v>3333.3333333333335</v>
      </c>
      <c r="M213" s="335">
        <f t="shared" si="32"/>
        <v>3333.3333333333335</v>
      </c>
      <c r="N213" s="335">
        <f t="shared" si="32"/>
        <v>3333.3333333333335</v>
      </c>
      <c r="O213" s="335">
        <f t="shared" si="32"/>
        <v>3333.3333333333335</v>
      </c>
      <c r="P213" s="335">
        <f t="shared" si="32"/>
        <v>3333.3333333333335</v>
      </c>
      <c r="Q213" s="335">
        <f>SUM(E213:P213)</f>
        <v>40000</v>
      </c>
      <c r="S213" s="336"/>
      <c r="U213" s="19"/>
    </row>
    <row r="214" spans="4:21" s="328" customFormat="1" ht="26.25" customHeight="1">
      <c r="D214" s="332"/>
      <c r="E214" s="330"/>
      <c r="F214" s="330"/>
      <c r="G214" s="330"/>
      <c r="H214" s="330"/>
      <c r="I214" s="330"/>
      <c r="J214" s="330"/>
      <c r="K214" s="330"/>
      <c r="L214" s="330"/>
      <c r="M214" s="330"/>
      <c r="N214" s="330"/>
      <c r="O214" s="330"/>
      <c r="P214" s="330"/>
      <c r="S214" s="331"/>
      <c r="U214" s="3"/>
    </row>
    <row r="215" spans="4:21" s="328" customFormat="1" ht="26.25" customHeight="1">
      <c r="D215" s="337" t="s">
        <v>1186</v>
      </c>
      <c r="E215" s="330"/>
      <c r="F215" s="330"/>
      <c r="G215" s="330"/>
      <c r="H215" s="330"/>
      <c r="I215" s="330"/>
      <c r="J215" s="330"/>
      <c r="K215" s="330"/>
      <c r="L215" s="330"/>
      <c r="M215" s="330"/>
      <c r="N215" s="330"/>
      <c r="O215" s="330"/>
      <c r="P215" s="330"/>
      <c r="S215" s="331"/>
      <c r="U215" s="3"/>
    </row>
    <row r="216" spans="4:21" s="328" customFormat="1" ht="26.25" customHeight="1">
      <c r="D216" s="332" t="s">
        <v>1179</v>
      </c>
      <c r="E216" s="330">
        <v>700</v>
      </c>
      <c r="F216" s="330">
        <v>700</v>
      </c>
      <c r="G216" s="330">
        <v>700</v>
      </c>
      <c r="H216" s="330">
        <v>700</v>
      </c>
      <c r="I216" s="330">
        <v>700</v>
      </c>
      <c r="J216" s="330">
        <v>700</v>
      </c>
      <c r="K216" s="330">
        <v>700</v>
      </c>
      <c r="L216" s="330">
        <v>700</v>
      </c>
      <c r="M216" s="330">
        <v>700</v>
      </c>
      <c r="N216" s="330">
        <v>700</v>
      </c>
      <c r="O216" s="330">
        <v>700</v>
      </c>
      <c r="P216" s="330">
        <v>700</v>
      </c>
      <c r="Q216" s="328">
        <f>SUM(E216:P216)</f>
        <v>8400</v>
      </c>
      <c r="S216" s="331"/>
      <c r="U216" s="3"/>
    </row>
    <row r="217" spans="4:21" s="328" customFormat="1" ht="26.25" customHeight="1">
      <c r="D217" s="332" t="s">
        <v>1180</v>
      </c>
      <c r="E217" s="330">
        <v>1900</v>
      </c>
      <c r="F217" s="330">
        <v>1900</v>
      </c>
      <c r="G217" s="330">
        <v>1900</v>
      </c>
      <c r="H217" s="330">
        <v>1900</v>
      </c>
      <c r="I217" s="330">
        <v>1900</v>
      </c>
      <c r="J217" s="330">
        <v>1900</v>
      </c>
      <c r="K217" s="330">
        <v>1900</v>
      </c>
      <c r="L217" s="330">
        <v>1900</v>
      </c>
      <c r="M217" s="330">
        <v>1900</v>
      </c>
      <c r="N217" s="330">
        <v>1900</v>
      </c>
      <c r="O217" s="330">
        <v>1900</v>
      </c>
      <c r="P217" s="330">
        <v>1900</v>
      </c>
      <c r="Q217" s="328">
        <f>SUM(E217:P217)</f>
        <v>22800</v>
      </c>
      <c r="S217" s="331"/>
      <c r="U217" s="3"/>
    </row>
    <row r="218" spans="4:21" s="328" customFormat="1" ht="26.15" customHeight="1">
      <c r="D218" s="332" t="s">
        <v>1178</v>
      </c>
      <c r="E218" s="330">
        <v>600</v>
      </c>
      <c r="F218" s="330">
        <v>600</v>
      </c>
      <c r="G218" s="330">
        <v>600</v>
      </c>
      <c r="H218" s="330">
        <v>600</v>
      </c>
      <c r="I218" s="330">
        <v>600</v>
      </c>
      <c r="J218" s="330">
        <v>600</v>
      </c>
      <c r="K218" s="330">
        <v>600</v>
      </c>
      <c r="L218" s="330">
        <v>600</v>
      </c>
      <c r="M218" s="330">
        <v>600</v>
      </c>
      <c r="N218" s="330">
        <v>600</v>
      </c>
      <c r="O218" s="330">
        <v>600</v>
      </c>
      <c r="P218" s="330">
        <v>600</v>
      </c>
      <c r="Q218" s="328">
        <f>SUM(E218:P218)</f>
        <v>7200</v>
      </c>
      <c r="S218" s="331"/>
      <c r="U218" s="3"/>
    </row>
    <row r="219" spans="4:21" s="328" customFormat="1" ht="26.25" customHeight="1">
      <c r="D219" s="332" t="s">
        <v>1189</v>
      </c>
      <c r="E219" s="330">
        <v>500</v>
      </c>
      <c r="F219" s="330">
        <v>500</v>
      </c>
      <c r="G219" s="330">
        <v>500</v>
      </c>
      <c r="H219" s="330">
        <v>500</v>
      </c>
      <c r="I219" s="330">
        <v>500</v>
      </c>
      <c r="J219" s="330">
        <v>500</v>
      </c>
      <c r="K219" s="330">
        <v>500</v>
      </c>
      <c r="L219" s="330">
        <v>500</v>
      </c>
      <c r="M219" s="330">
        <v>500</v>
      </c>
      <c r="N219" s="330">
        <v>500</v>
      </c>
      <c r="O219" s="330">
        <v>500</v>
      </c>
      <c r="P219" s="330">
        <v>500</v>
      </c>
      <c r="Q219" s="328">
        <f>SUM(E219:P219)</f>
        <v>6000</v>
      </c>
      <c r="S219" s="331"/>
      <c r="U219" s="3"/>
    </row>
    <row r="220" spans="4:21" s="328" customFormat="1" ht="26.25" customHeight="1">
      <c r="D220" s="332" t="s">
        <v>1188</v>
      </c>
      <c r="E220" s="330">
        <v>400</v>
      </c>
      <c r="F220" s="330">
        <v>400</v>
      </c>
      <c r="G220" s="330">
        <v>400</v>
      </c>
      <c r="H220" s="330">
        <v>400</v>
      </c>
      <c r="I220" s="330">
        <v>400</v>
      </c>
      <c r="J220" s="330">
        <v>400</v>
      </c>
      <c r="K220" s="330">
        <v>400</v>
      </c>
      <c r="L220" s="330">
        <v>400</v>
      </c>
      <c r="M220" s="330">
        <v>400</v>
      </c>
      <c r="N220" s="330">
        <v>400</v>
      </c>
      <c r="O220" s="330">
        <v>400</v>
      </c>
      <c r="P220" s="330">
        <v>400</v>
      </c>
      <c r="Q220" s="328">
        <f>SUM(E220:P220)</f>
        <v>4800</v>
      </c>
      <c r="S220" s="331"/>
      <c r="U220" s="3"/>
    </row>
    <row r="221" spans="4:21" s="328" customFormat="1" ht="26.25" customHeight="1">
      <c r="D221" s="332" t="s">
        <v>1176</v>
      </c>
      <c r="E221" s="330">
        <v>100</v>
      </c>
      <c r="F221" s="330">
        <v>100</v>
      </c>
      <c r="G221" s="330">
        <v>100</v>
      </c>
      <c r="H221" s="330">
        <v>100</v>
      </c>
      <c r="I221" s="330">
        <v>100</v>
      </c>
      <c r="J221" s="330">
        <v>100</v>
      </c>
      <c r="K221" s="330">
        <v>100</v>
      </c>
      <c r="L221" s="330">
        <v>100</v>
      </c>
      <c r="M221" s="330">
        <v>100</v>
      </c>
      <c r="N221" s="330">
        <v>100</v>
      </c>
      <c r="O221" s="330">
        <v>100</v>
      </c>
      <c r="P221" s="330">
        <v>100</v>
      </c>
      <c r="Q221" s="328">
        <f t="shared" ref="Q221:Q226" si="33">SUM(E221:P221)</f>
        <v>1200</v>
      </c>
      <c r="S221" s="331"/>
      <c r="U221" s="3"/>
    </row>
    <row r="222" spans="4:21" s="328" customFormat="1" ht="26.25" customHeight="1">
      <c r="D222" s="332" t="s">
        <v>1177</v>
      </c>
      <c r="E222" s="330">
        <v>200</v>
      </c>
      <c r="F222" s="330">
        <v>200</v>
      </c>
      <c r="G222" s="330">
        <v>200</v>
      </c>
      <c r="H222" s="330">
        <v>200</v>
      </c>
      <c r="I222" s="330">
        <v>200</v>
      </c>
      <c r="J222" s="330">
        <v>200</v>
      </c>
      <c r="K222" s="330">
        <v>200</v>
      </c>
      <c r="L222" s="330">
        <v>200</v>
      </c>
      <c r="M222" s="330">
        <v>200</v>
      </c>
      <c r="N222" s="330">
        <v>200</v>
      </c>
      <c r="O222" s="330">
        <v>200</v>
      </c>
      <c r="P222" s="330">
        <v>200</v>
      </c>
      <c r="Q222" s="328">
        <f>SUM(E222:P222)</f>
        <v>2400</v>
      </c>
      <c r="S222" s="331"/>
      <c r="U222" s="3"/>
    </row>
    <row r="223" spans="4:21" s="328" customFormat="1" ht="26.25" customHeight="1">
      <c r="D223" s="332" t="s">
        <v>1187</v>
      </c>
      <c r="E223" s="330">
        <v>200</v>
      </c>
      <c r="F223" s="330">
        <v>200</v>
      </c>
      <c r="G223" s="330">
        <v>200</v>
      </c>
      <c r="H223" s="330">
        <v>200</v>
      </c>
      <c r="I223" s="330">
        <v>200</v>
      </c>
      <c r="J223" s="330">
        <v>200</v>
      </c>
      <c r="K223" s="330">
        <v>200</v>
      </c>
      <c r="L223" s="330">
        <v>200</v>
      </c>
      <c r="M223" s="330">
        <v>200</v>
      </c>
      <c r="N223" s="330">
        <v>200</v>
      </c>
      <c r="O223" s="330">
        <v>200</v>
      </c>
      <c r="P223" s="330">
        <v>200</v>
      </c>
      <c r="Q223" s="328">
        <f>SUM(E223:P223)</f>
        <v>2400</v>
      </c>
      <c r="S223" s="331"/>
      <c r="U223" s="3"/>
    </row>
    <row r="224" spans="4:21" s="328" customFormat="1" ht="26.25" customHeight="1">
      <c r="D224" s="332" t="s">
        <v>1182</v>
      </c>
      <c r="E224" s="330">
        <v>500</v>
      </c>
      <c r="F224" s="330">
        <v>500</v>
      </c>
      <c r="G224" s="330">
        <v>500</v>
      </c>
      <c r="H224" s="330">
        <v>500</v>
      </c>
      <c r="I224" s="330">
        <v>500</v>
      </c>
      <c r="J224" s="330">
        <v>500</v>
      </c>
      <c r="K224" s="330">
        <v>500</v>
      </c>
      <c r="L224" s="330">
        <v>500</v>
      </c>
      <c r="M224" s="330">
        <v>500</v>
      </c>
      <c r="N224" s="330">
        <v>500</v>
      </c>
      <c r="O224" s="330">
        <v>500</v>
      </c>
      <c r="P224" s="330">
        <v>500</v>
      </c>
      <c r="Q224" s="328">
        <f>SUM(E224:P224)</f>
        <v>6000</v>
      </c>
      <c r="S224" s="331"/>
      <c r="U224" s="3"/>
    </row>
    <row r="225" spans="4:21" s="328" customFormat="1" ht="26.25" customHeight="1">
      <c r="D225" s="332" t="s">
        <v>1181</v>
      </c>
      <c r="E225" s="330">
        <v>100</v>
      </c>
      <c r="F225" s="330">
        <v>100</v>
      </c>
      <c r="G225" s="330">
        <v>100</v>
      </c>
      <c r="H225" s="330">
        <v>100</v>
      </c>
      <c r="I225" s="330">
        <v>100</v>
      </c>
      <c r="J225" s="330">
        <v>100</v>
      </c>
      <c r="K225" s="330">
        <v>100</v>
      </c>
      <c r="L225" s="330">
        <v>100</v>
      </c>
      <c r="M225" s="330">
        <v>100</v>
      </c>
      <c r="N225" s="330">
        <v>100</v>
      </c>
      <c r="O225" s="330">
        <v>100</v>
      </c>
      <c r="P225" s="330">
        <v>100</v>
      </c>
      <c r="Q225" s="328">
        <f t="shared" si="33"/>
        <v>1200</v>
      </c>
      <c r="S225" s="331"/>
      <c r="U225" s="3"/>
    </row>
    <row r="226" spans="4:21" s="328" customFormat="1" ht="26.25" customHeight="1">
      <c r="D226" s="332"/>
      <c r="E226" s="330">
        <f>SUM(E216:E225)</f>
        <v>5200</v>
      </c>
      <c r="F226" s="330">
        <f t="shared" ref="F226:P226" si="34">SUM(F216:F225)</f>
        <v>5200</v>
      </c>
      <c r="G226" s="330">
        <f t="shared" si="34"/>
        <v>5200</v>
      </c>
      <c r="H226" s="330">
        <f t="shared" si="34"/>
        <v>5200</v>
      </c>
      <c r="I226" s="330">
        <f t="shared" si="34"/>
        <v>5200</v>
      </c>
      <c r="J226" s="330">
        <f t="shared" si="34"/>
        <v>5200</v>
      </c>
      <c r="K226" s="330">
        <f t="shared" si="34"/>
        <v>5200</v>
      </c>
      <c r="L226" s="330">
        <f t="shared" si="34"/>
        <v>5200</v>
      </c>
      <c r="M226" s="330">
        <f t="shared" si="34"/>
        <v>5200</v>
      </c>
      <c r="N226" s="330">
        <f t="shared" si="34"/>
        <v>5200</v>
      </c>
      <c r="O226" s="330">
        <f t="shared" si="34"/>
        <v>5200</v>
      </c>
      <c r="P226" s="330">
        <f t="shared" si="34"/>
        <v>5200</v>
      </c>
      <c r="Q226" s="328">
        <f t="shared" si="33"/>
        <v>62400</v>
      </c>
      <c r="S226" s="331"/>
      <c r="U226" s="3"/>
    </row>
    <row r="227" spans="4:21" s="328" customFormat="1" ht="26.25" customHeight="1">
      <c r="D227" s="332"/>
      <c r="E227" s="330"/>
      <c r="F227" s="330"/>
      <c r="G227" s="330"/>
      <c r="H227" s="330"/>
      <c r="I227" s="330"/>
      <c r="J227" s="330"/>
      <c r="K227" s="330"/>
      <c r="L227" s="330"/>
      <c r="M227" s="330"/>
      <c r="N227" s="330"/>
      <c r="O227" s="330"/>
      <c r="P227" s="330"/>
      <c r="S227" s="331"/>
      <c r="U227" s="3"/>
    </row>
    <row r="228" spans="4:21" s="328" customFormat="1" ht="26.25" customHeight="1">
      <c r="D228" s="332"/>
      <c r="E228" s="330"/>
      <c r="F228" s="330"/>
      <c r="G228" s="330"/>
      <c r="H228" s="330"/>
      <c r="I228" s="330"/>
      <c r="J228" s="330"/>
      <c r="K228" s="330"/>
      <c r="L228" s="330"/>
      <c r="M228" s="330"/>
      <c r="N228" s="330"/>
      <c r="O228" s="330"/>
      <c r="P228" s="330"/>
      <c r="S228" s="331"/>
      <c r="U228" s="3"/>
    </row>
  </sheetData>
  <phoneticPr fontId="77" type="noConversion"/>
  <dataValidations count="35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087.18_x000d__x000a_" sqref="E154:P154">
      <formula1>0</formula1>
      <formula2>300</formula2>
    </dataValidation>
    <dataValidation type="textLength" errorStyle="information" allowBlank="1" showInputMessage="1" showErrorMessage="1" error="XLBVal:6=665041.16_x000d__x000a_" sqref="E12:P12">
      <formula1>0</formula1>
      <formula2>300</formula2>
    </dataValidation>
    <dataValidation type="textLength" errorStyle="information" allowBlank="1" showInputMessage="1" showErrorMessage="1" error="XLBVal:6=200_x000d__x000a_" sqref="E69:P69">
      <formula1>0</formula1>
      <formula2>300</formula2>
    </dataValidation>
    <dataValidation type="textLength" errorStyle="information" allowBlank="1" showInputMessage="1" showErrorMessage="1" error="XLBVal:6=17583450_x000d__x000a_" sqref="Q12">
      <formula1>0</formula1>
      <formula2>300</formula2>
    </dataValidation>
    <dataValidation type="textLength" errorStyle="information" allowBlank="1" showInputMessage="1" showErrorMessage="1" error="XLBVal:2=0_x000d__x000a_" sqref="F25:O25 E26:F26 H26:O26 E170:P174 E15:E25 F13:F19 Q15:Q157 Q164:Q165 F22:P24 E44:P68 F20:N21 E184:P184 O18:P21 G15:P17 G18:N19 E27:O43 E70:P153 E165 E168:P168 Q187:Q193 P25:P43 E187:P192">
      <formula1>0</formula1>
      <formula2>300</formula2>
    </dataValidation>
    <dataValidation type="textLength" errorStyle="information" allowBlank="1" showInputMessage="1" showErrorMessage="1" error="XLBVal:6=215.1_x000d__x000a_" sqref="G26">
      <formula1>0</formula1>
      <formula2>300</formula2>
    </dataValidation>
    <dataValidation type="textLength" errorStyle="information" allowBlank="1" showInputMessage="1" showErrorMessage="1" error="XLBVal:6=1968.73_x000d__x000a_" sqref="E157:P157">
      <formula1>0</formula1>
      <formula2>300</formula2>
    </dataValidation>
    <dataValidation type="textLength" errorStyle="information" allowBlank="1" showInputMessage="1" showErrorMessage="1" error="XLBVal:6=52295.96_x000d__x000a_" sqref="E155:P155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12372.32_x000d__x000a_" sqref="E156:P156">
      <formula1>0</formula1>
      <formula2>300</formula2>
    </dataValidation>
    <dataValidation type="textLength" errorStyle="information" allowBlank="1" showInputMessage="1" showErrorMessage="1" error="XLBVal:6=0_x000d__x000a_" sqref="E158:Q158">
      <formula1>0</formula1>
      <formula2>300</formula2>
    </dataValidation>
    <dataValidation type="textLength" errorStyle="information" allowBlank="1" showInputMessage="1" showErrorMessage="1" error="XLBVal:6=3239.86_x000d__x000a_" sqref="E159:Q159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6=97897.59_x000d__x000a_" sqref="E160:P160">
      <formula1>0</formula1>
      <formula2>300</formula2>
    </dataValidation>
    <dataValidation type="textLength" errorStyle="information" allowBlank="1" showInputMessage="1" showErrorMessage="1" error="XLBVal:6=12779429.56_x000d__x000a_" sqref="Q160">
      <formula1>0</formula1>
      <formula2>300</formula2>
    </dataValidation>
    <dataValidation type="textLength" errorStyle="information" allowBlank="1" showInputMessage="1" showErrorMessage="1" error="XLBVal:6=19500_x000d__x000a_" sqref="F165:P165">
      <formula1>0</formula1>
      <formula2>300</formula2>
    </dataValidation>
    <dataValidation type="textLength" errorStyle="information" allowBlank="1" showInputMessage="1" showErrorMessage="1" sqref="H186:I186 F194:Q195 E162:I163 F196:I196 H167:I167 H176:I176 E194:E196">
      <formula1>0</formula1>
      <formula2>300</formula2>
    </dataValidation>
    <dataValidation type="textLength" errorStyle="information" allowBlank="1" showInputMessage="1" showErrorMessage="1" error="XLBVal:6=3678_x000d__x000a_" sqref="F186:G186 F185:Q185 E185:E186">
      <formula1>0</formula1>
      <formula2>300</formula2>
    </dataValidation>
    <dataValidation type="textLength" errorStyle="information" allowBlank="1" showInputMessage="1" showErrorMessage="1" error="XLBVal:6=1260_x000d__x000a_" sqref="Q197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69013_x000d__x000a_" sqref="Q168:Q174">
      <formula1>0</formula1>
      <formula2>300</formula2>
    </dataValidation>
    <dataValidation type="textLength" errorStyle="information" allowBlank="1" showInputMessage="1" showErrorMessage="1" error="XLBVal:6=1293444_x000d__x000a_" sqref="Q177:Q184">
      <formula1>0</formula1>
      <formula2>300</formula2>
    </dataValidation>
    <dataValidation type="textLength" errorStyle="information" allowBlank="1" showInputMessage="1" showErrorMessage="1" error="XLBVal:6=318_x000d__x000a_" sqref="E193:P193">
      <formula1>0</formula1>
      <formula2>300</formula2>
    </dataValidation>
    <dataValidation type="textLength" errorStyle="information" allowBlank="1" showInputMessage="1" showErrorMessage="1" error="XLBVal:6=59.26_x000d__x000a_" sqref="E181:P181">
      <formula1>0</formula1>
      <formula2>300</formula2>
    </dataValidation>
    <dataValidation type="textLength" errorStyle="information" allowBlank="1" showInputMessage="1" showErrorMessage="1" error="XLBVal:6=160_x000d__x000a_" sqref="E183:P183">
      <formula1>0</formula1>
      <formula2>300</formula2>
    </dataValidation>
    <dataValidation type="textLength" errorStyle="information" allowBlank="1" showInputMessage="1" showErrorMessage="1" error="XLBVal:6=37.04_x000d__x000a_" sqref="E179:P179">
      <formula1>0</formula1>
      <formula2>300</formula2>
    </dataValidation>
    <dataValidation type="textLength" errorStyle="information" allowBlank="1" showInputMessage="1" showErrorMessage="1" error="XLBVal:6=592.56_x000d__x000a_" sqref="E178:P178">
      <formula1>0</formula1>
      <formula2>300</formula2>
    </dataValidation>
    <dataValidation type="textLength" errorStyle="information" allowBlank="1" showInputMessage="1" showErrorMessage="1" error="XLBVal:6=1185.12_x000d__x000a_" sqref="E177:P177">
      <formula1>0</formula1>
      <formula2>300</formula2>
    </dataValidation>
    <dataValidation type="textLength" errorStyle="information" allowBlank="1" showInputMessage="1" showErrorMessage="1" error="XLBVal:6=29.63_x000d__x000a_" sqref="E180:P180">
      <formula1>0</formula1>
      <formula2>300</formula2>
    </dataValidation>
    <dataValidation type="textLength" errorStyle="information" allowBlank="1" showInputMessage="1" showErrorMessage="1" error="XLBVal:6=790_x000d__x000a_" sqref="E182:P182">
      <formula1>0</formula1>
      <formula2>300</formula2>
    </dataValidation>
    <dataValidation type="textLength" errorStyle="information" allowBlank="1" showInputMessage="1" showErrorMessage="1" error="XLBVal:6=8000_x000d__x000a_" sqref="E164:P164">
      <formula1>0</formula1>
      <formula2>300</formula2>
    </dataValidation>
    <dataValidation type="textLength" errorStyle="information" allowBlank="1" showInputMessage="1" showErrorMessage="1" error="XLBVal:6=666.67_x000d__x000a_" sqref="E169:P169">
      <formula1>0</formula1>
      <formula2>300</formula2>
    </dataValidation>
    <dataValidation type="textLength" errorStyle="information" allowBlank="1" showInputMessage="1" showErrorMessage="1" error="XLBVal:6=1_x000d__x000a_" sqref="E197:P197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rgb="FFDCB9FF"/>
    <pageSetUpPr fitToPage="1"/>
  </sheetPr>
  <dimension ref="A1:Y201"/>
  <sheetViews>
    <sheetView zoomScale="50" zoomScaleNormal="50" zoomScaleSheetLayoutView="25" workbookViewId="0">
      <pane xSplit="4" ySplit="12" topLeftCell="E13" activePane="bottomRight" state="frozen"/>
      <selection activeCell="Q40" sqref="Q40"/>
      <selection pane="topRight" activeCell="Q40" sqref="Q40"/>
      <selection pane="bottomLeft" activeCell="Q40" sqref="Q40"/>
      <selection pane="bottomRight" activeCell="N70" sqref="N70"/>
    </sheetView>
  </sheetViews>
  <sheetFormatPr defaultColWidth="8.90625" defaultRowHeight="26.25" customHeight="1" outlineLevelRow="1" outlineLevelCol="1"/>
  <cols>
    <col min="1" max="2" width="15.453125" style="5" hidden="1" customWidth="1" outlineLevel="1"/>
    <col min="3" max="3" width="13.453125" style="5" hidden="1" customWidth="1" outlineLevel="1"/>
    <col min="4" max="4" width="59.90625" style="6" customWidth="1" collapsed="1"/>
    <col min="5" max="9" width="22.6328125" style="7" customWidth="1"/>
    <col min="10" max="16" width="22.6328125" style="5" customWidth="1"/>
    <col min="17" max="17" width="28.08984375" style="5" customWidth="1"/>
    <col min="18" max="18" width="27.08984375" style="5" hidden="1" customWidth="1"/>
    <col min="19" max="19" width="12" style="5" customWidth="1"/>
    <col min="20" max="20" width="0" style="5" hidden="1" customWidth="1"/>
    <col min="21" max="21" width="22.453125" style="8" hidden="1" customWidth="1"/>
    <col min="22" max="22" width="22.453125" style="5" hidden="1" customWidth="1"/>
    <col min="23" max="23" width="0" style="5" hidden="1" customWidth="1"/>
    <col min="24" max="24" width="20.08984375" style="5" customWidth="1"/>
    <col min="25" max="25" width="13.08984375" style="5" bestFit="1" customWidth="1"/>
    <col min="26" max="16384" width="8.90625" style="5"/>
  </cols>
  <sheetData>
    <row r="1" spans="1:22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U1" s="32"/>
    </row>
    <row r="2" spans="1:22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U2" s="32"/>
    </row>
    <row r="3" spans="1:22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U3" s="32"/>
    </row>
    <row r="4" spans="1:22" s="2" customFormat="1" ht="25.4" customHeight="1">
      <c r="D4" s="14" t="str">
        <f>Summary!$D$4</f>
        <v>Hotel Budget Report</v>
      </c>
      <c r="E4" s="11"/>
      <c r="F4" s="11"/>
      <c r="G4" s="12"/>
      <c r="H4" s="13"/>
      <c r="I4" s="13"/>
      <c r="U4" s="33"/>
    </row>
    <row r="5" spans="1:22" s="2" customFormat="1" ht="25.4" customHeight="1">
      <c r="D5" s="14" t="str">
        <f>Summary!$D$5</f>
        <v>酒店预算报表</v>
      </c>
      <c r="E5" s="11"/>
      <c r="F5" s="11"/>
      <c r="G5" s="12"/>
      <c r="H5" s="13"/>
      <c r="I5" s="13"/>
      <c r="U5" s="33"/>
    </row>
    <row r="6" spans="1:22" s="2" customFormat="1" ht="25.4" customHeight="1">
      <c r="D6" s="14" t="s">
        <v>1010</v>
      </c>
      <c r="E6" s="13"/>
      <c r="F6" s="13"/>
      <c r="G6" s="13"/>
      <c r="H6" s="13"/>
      <c r="I6" s="13"/>
      <c r="U6" s="33"/>
    </row>
    <row r="7" spans="1:22" s="2" customFormat="1" ht="25.4" customHeight="1">
      <c r="D7" s="199">
        <f>Parameter!H4</f>
        <v>2025</v>
      </c>
      <c r="E7" s="13"/>
      <c r="F7" s="13"/>
      <c r="G7" s="13"/>
      <c r="H7" s="13"/>
      <c r="I7" s="13"/>
      <c r="U7" s="33"/>
    </row>
    <row r="8" spans="1:22" ht="25.4" customHeight="1">
      <c r="D8" s="16"/>
    </row>
    <row r="9" spans="1:22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T9" s="34"/>
      <c r="U9" s="35"/>
    </row>
    <row r="10" spans="1:22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T10" s="34" t="s">
        <v>22</v>
      </c>
      <c r="U10" s="36" t="s">
        <v>23</v>
      </c>
      <c r="V10" s="37" t="s">
        <v>24</v>
      </c>
    </row>
    <row r="11" spans="1:22" s="3" customFormat="1" ht="25.4" customHeight="1">
      <c r="D11" s="21"/>
      <c r="E11" s="22"/>
      <c r="F11" s="22"/>
      <c r="G11" s="22"/>
      <c r="H11" s="23"/>
      <c r="I11" s="23"/>
      <c r="U11" s="35"/>
    </row>
    <row r="12" spans="1:22" s="3" customFormat="1" ht="25.4" customHeight="1">
      <c r="A12" s="3" t="s">
        <v>466</v>
      </c>
      <c r="B12" s="3" t="s">
        <v>58</v>
      </c>
      <c r="D12" s="21" t="s">
        <v>139</v>
      </c>
      <c r="E12" s="43">
        <f>+E195</f>
        <v>241175.90000000002</v>
      </c>
      <c r="F12" s="43">
        <f t="shared" ref="F12:P12" si="0">+F195</f>
        <v>214908.56999999998</v>
      </c>
      <c r="G12" s="43">
        <f t="shared" si="0"/>
        <v>214280.00999999998</v>
      </c>
      <c r="H12" s="43">
        <f t="shared" si="0"/>
        <v>222225.21</v>
      </c>
      <c r="I12" s="43">
        <f t="shared" si="0"/>
        <v>226940.29</v>
      </c>
      <c r="J12" s="43">
        <f t="shared" si="0"/>
        <v>217287.03</v>
      </c>
      <c r="K12" s="43">
        <f t="shared" si="0"/>
        <v>217031.78999999998</v>
      </c>
      <c r="L12" s="43">
        <f t="shared" si="0"/>
        <v>217064.00999999998</v>
      </c>
      <c r="M12" s="43">
        <f t="shared" si="0"/>
        <v>217092.27</v>
      </c>
      <c r="N12" s="43">
        <f t="shared" si="0"/>
        <v>243470.66</v>
      </c>
      <c r="O12" s="43">
        <f t="shared" si="0"/>
        <v>213041.43</v>
      </c>
      <c r="P12" s="43">
        <f t="shared" si="0"/>
        <v>212963.49</v>
      </c>
      <c r="Q12" s="43">
        <f>SUM(E12:P12)</f>
        <v>2657480.66</v>
      </c>
      <c r="R12" s="43">
        <v>2277794</v>
      </c>
      <c r="S12" s="39">
        <f>Q12/Summary!$Q$16</f>
        <v>3.3364378648024308E-2</v>
      </c>
      <c r="T12" s="39"/>
      <c r="U12" s="35"/>
      <c r="V12" s="40" t="e">
        <f>-IF(Q12-U12=0,0,(Q12-U12)/U12)</f>
        <v>#DIV/0!</v>
      </c>
    </row>
    <row r="13" spans="1:22" s="3" customFormat="1" ht="25.4" customHeight="1">
      <c r="D13" s="26"/>
      <c r="E13" s="24"/>
      <c r="F13" s="24"/>
      <c r="G13" s="24"/>
      <c r="H13" s="25"/>
      <c r="I13" s="25"/>
      <c r="U13" s="35"/>
      <c r="V13" s="40"/>
    </row>
    <row r="14" spans="1:22" s="3" customFormat="1" ht="25.4" customHeight="1">
      <c r="D14" s="21" t="s">
        <v>140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U14" s="35"/>
      <c r="V14" s="40"/>
    </row>
    <row r="15" spans="1:22" s="3" customFormat="1" ht="25.4" hidden="1" customHeight="1">
      <c r="A15" s="3" t="s">
        <v>468</v>
      </c>
      <c r="B15" s="3" t="s">
        <v>58</v>
      </c>
      <c r="D15" s="26" t="s">
        <v>469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1">
        <f>SUM(E15:P15)</f>
        <v>0</v>
      </c>
      <c r="R15" s="61">
        <v>0</v>
      </c>
      <c r="U15" s="35"/>
      <c r="V15" s="40">
        <f t="shared" ref="V15:V23" si="1">IF(Q15-U15=0,0,(Q15-U15)/U15)</f>
        <v>0</v>
      </c>
    </row>
    <row r="16" spans="1:22" s="3" customFormat="1" ht="25.4" hidden="1" customHeight="1">
      <c r="A16" s="3" t="s">
        <v>470</v>
      </c>
      <c r="B16" s="3" t="s">
        <v>58</v>
      </c>
      <c r="D16" s="28" t="s">
        <v>471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1">
        <f t="shared" ref="Q16:Q79" si="2">SUM(E16:P16)</f>
        <v>0</v>
      </c>
      <c r="R16" s="61">
        <v>0</v>
      </c>
      <c r="U16" s="35"/>
      <c r="V16" s="40">
        <f t="shared" si="1"/>
        <v>0</v>
      </c>
    </row>
    <row r="17" spans="1:22" s="3" customFormat="1" ht="25.4" hidden="1" customHeight="1">
      <c r="A17" s="3" t="s">
        <v>472</v>
      </c>
      <c r="B17" s="3" t="s">
        <v>58</v>
      </c>
      <c r="D17" s="26" t="s">
        <v>473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1">
        <f t="shared" si="2"/>
        <v>0</v>
      </c>
      <c r="R17" s="61">
        <v>0</v>
      </c>
      <c r="U17" s="35"/>
      <c r="V17" s="40">
        <f t="shared" si="1"/>
        <v>0</v>
      </c>
    </row>
    <row r="18" spans="1:22" s="3" customFormat="1" ht="25.4" hidden="1" customHeight="1">
      <c r="A18" s="3" t="s">
        <v>474</v>
      </c>
      <c r="B18" s="3" t="s">
        <v>58</v>
      </c>
      <c r="D18" s="26" t="s">
        <v>475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1">
        <f t="shared" si="2"/>
        <v>0</v>
      </c>
      <c r="R18" s="61">
        <v>0</v>
      </c>
      <c r="U18" s="35"/>
      <c r="V18" s="40">
        <f t="shared" si="1"/>
        <v>0</v>
      </c>
    </row>
    <row r="19" spans="1:22" s="3" customFormat="1" ht="25.4" hidden="1" customHeight="1">
      <c r="A19" s="3" t="s">
        <v>476</v>
      </c>
      <c r="B19" s="3" t="s">
        <v>58</v>
      </c>
      <c r="D19" s="29" t="s">
        <v>477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1">
        <f t="shared" si="2"/>
        <v>0</v>
      </c>
      <c r="R19" s="61">
        <v>0</v>
      </c>
      <c r="U19" s="35"/>
      <c r="V19" s="40">
        <f t="shared" si="1"/>
        <v>0</v>
      </c>
    </row>
    <row r="20" spans="1:22" s="3" customFormat="1" ht="25.4" hidden="1" customHeight="1">
      <c r="A20" s="3" t="s">
        <v>478</v>
      </c>
      <c r="B20" s="3" t="s">
        <v>58</v>
      </c>
      <c r="D20" s="29" t="s">
        <v>479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1">
        <f t="shared" si="2"/>
        <v>0</v>
      </c>
      <c r="R20" s="61">
        <v>0</v>
      </c>
      <c r="U20" s="35"/>
      <c r="V20" s="40">
        <f t="shared" si="1"/>
        <v>0</v>
      </c>
    </row>
    <row r="21" spans="1:22" s="3" customFormat="1" ht="25.4" hidden="1" customHeight="1">
      <c r="A21" s="3" t="s">
        <v>480</v>
      </c>
      <c r="B21" s="3" t="s">
        <v>58</v>
      </c>
      <c r="D21" s="26" t="s">
        <v>481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1">
        <f t="shared" si="2"/>
        <v>0</v>
      </c>
      <c r="R21" s="61">
        <v>0</v>
      </c>
      <c r="U21" s="35"/>
      <c r="V21" s="40">
        <f t="shared" si="1"/>
        <v>0</v>
      </c>
    </row>
    <row r="22" spans="1:22" s="3" customFormat="1" ht="25.4" customHeight="1">
      <c r="A22" s="3" t="s">
        <v>482</v>
      </c>
      <c r="B22" s="3" t="s">
        <v>58</v>
      </c>
      <c r="D22" s="29" t="s">
        <v>483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1">
        <f t="shared" si="2"/>
        <v>0</v>
      </c>
      <c r="R22" s="61">
        <v>0</v>
      </c>
      <c r="U22" s="35"/>
      <c r="V22" s="40">
        <f t="shared" si="1"/>
        <v>0</v>
      </c>
    </row>
    <row r="23" spans="1:22" s="3" customFormat="1" ht="25.4" customHeight="1">
      <c r="A23" s="3" t="s">
        <v>484</v>
      </c>
      <c r="B23" s="3" t="s">
        <v>58</v>
      </c>
      <c r="D23" s="26" t="s">
        <v>485</v>
      </c>
      <c r="E23" s="43">
        <v>50366.666666666672</v>
      </c>
      <c r="F23" s="43">
        <v>50366.666666666672</v>
      </c>
      <c r="G23" s="43">
        <v>50366.666666666672</v>
      </c>
      <c r="H23" s="43">
        <v>50366.666666666672</v>
      </c>
      <c r="I23" s="43">
        <v>50366.666666666672</v>
      </c>
      <c r="J23" s="43">
        <v>50366.666666666672</v>
      </c>
      <c r="K23" s="43">
        <v>50366.666666666672</v>
      </c>
      <c r="L23" s="43">
        <v>50366.666666666672</v>
      </c>
      <c r="M23" s="43">
        <v>50366.666666666672</v>
      </c>
      <c r="N23" s="43">
        <v>50366.666666666672</v>
      </c>
      <c r="O23" s="43">
        <v>50366.666666666672</v>
      </c>
      <c r="P23" s="43">
        <v>50366.666666666672</v>
      </c>
      <c r="Q23" s="41">
        <f t="shared" si="2"/>
        <v>604400.00000000012</v>
      </c>
      <c r="R23" s="61">
        <v>854.7</v>
      </c>
      <c r="S23" s="39">
        <f>Q23/Summary!$Q$16</f>
        <v>7.5881758081603095E-3</v>
      </c>
      <c r="T23" s="39"/>
      <c r="U23" s="35"/>
      <c r="V23" s="40" t="e">
        <f t="shared" si="1"/>
        <v>#DIV/0!</v>
      </c>
    </row>
    <row r="24" spans="1:22" s="3" customFormat="1" ht="25.4" customHeight="1">
      <c r="A24" s="3" t="s">
        <v>486</v>
      </c>
      <c r="B24" s="3" t="s">
        <v>58</v>
      </c>
      <c r="D24" s="26" t="s">
        <v>487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1">
        <f t="shared" si="2"/>
        <v>0</v>
      </c>
      <c r="R24" s="61">
        <v>26257.8</v>
      </c>
      <c r="S24" s="39">
        <f>Q24/Summary!$Q$16</f>
        <v>0</v>
      </c>
      <c r="T24" s="39"/>
      <c r="U24" s="35"/>
      <c r="V24" s="40">
        <f>-IF(Q24-U24=0,0,(Q24-U24)/U24)</f>
        <v>0</v>
      </c>
    </row>
    <row r="25" spans="1:22" s="3" customFormat="1" ht="25.4" customHeight="1">
      <c r="A25" s="3" t="s">
        <v>488</v>
      </c>
      <c r="B25" s="3" t="s">
        <v>58</v>
      </c>
      <c r="D25" s="26" t="s">
        <v>489</v>
      </c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1">
        <f t="shared" si="2"/>
        <v>0</v>
      </c>
      <c r="R25" s="61">
        <v>0</v>
      </c>
      <c r="S25" s="39">
        <f>Q25/Summary!$Q$16</f>
        <v>0</v>
      </c>
      <c r="T25" s="39"/>
      <c r="U25" s="35"/>
      <c r="V25" s="40">
        <f t="shared" ref="V25:V88" si="3">-IF(Q25-U25=0,0,(Q25-U25)/U25)</f>
        <v>0</v>
      </c>
    </row>
    <row r="26" spans="1:22" s="3" customFormat="1" ht="25.4" customHeight="1">
      <c r="A26" s="3" t="s">
        <v>490</v>
      </c>
      <c r="B26" s="3" t="s">
        <v>58</v>
      </c>
      <c r="D26" s="26" t="s">
        <v>491</v>
      </c>
      <c r="E26" s="63">
        <v>500</v>
      </c>
      <c r="F26" s="63">
        <v>500</v>
      </c>
      <c r="G26" s="63">
        <v>500</v>
      </c>
      <c r="H26" s="63">
        <v>500</v>
      </c>
      <c r="I26" s="63">
        <v>500</v>
      </c>
      <c r="J26" s="63">
        <v>500</v>
      </c>
      <c r="K26" s="63">
        <v>500</v>
      </c>
      <c r="L26" s="63">
        <v>500</v>
      </c>
      <c r="M26" s="63">
        <v>500</v>
      </c>
      <c r="N26" s="63">
        <v>500</v>
      </c>
      <c r="O26" s="63">
        <v>500</v>
      </c>
      <c r="P26" s="63">
        <v>500</v>
      </c>
      <c r="Q26" s="41">
        <f t="shared" si="2"/>
        <v>6000</v>
      </c>
      <c r="R26" s="61">
        <v>1206.3</v>
      </c>
      <c r="S26" s="39">
        <f>Q26/Summary!$Q$16</f>
        <v>7.5329342900333965E-5</v>
      </c>
      <c r="T26" s="39"/>
      <c r="U26" s="35"/>
      <c r="V26" s="40" t="e">
        <f t="shared" si="3"/>
        <v>#DIV/0!</v>
      </c>
    </row>
    <row r="27" spans="1:22" s="3" customFormat="1" ht="25.4" customHeight="1">
      <c r="A27" s="3" t="s">
        <v>492</v>
      </c>
      <c r="B27" s="3" t="s">
        <v>58</v>
      </c>
      <c r="D27" s="26" t="s">
        <v>493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1">
        <f t="shared" si="2"/>
        <v>0</v>
      </c>
      <c r="R27" s="61">
        <v>0</v>
      </c>
      <c r="S27" s="39">
        <f>Q27/Summary!$Q$16</f>
        <v>0</v>
      </c>
      <c r="T27" s="39"/>
      <c r="U27" s="35"/>
      <c r="V27" s="40">
        <f t="shared" si="3"/>
        <v>0</v>
      </c>
    </row>
    <row r="28" spans="1:22" s="3" customFormat="1" ht="25.4" customHeight="1">
      <c r="A28" s="3" t="s">
        <v>494</v>
      </c>
      <c r="B28" s="3" t="s">
        <v>58</v>
      </c>
      <c r="D28" s="26" t="s">
        <v>495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1">
        <f t="shared" si="2"/>
        <v>0</v>
      </c>
      <c r="R28" s="61">
        <v>0</v>
      </c>
      <c r="S28" s="39">
        <f>Q28/Summary!$Q$16</f>
        <v>0</v>
      </c>
      <c r="T28" s="39"/>
      <c r="U28" s="35"/>
      <c r="V28" s="40">
        <f t="shared" si="3"/>
        <v>0</v>
      </c>
    </row>
    <row r="29" spans="1:22" s="3" customFormat="1" ht="25.4" customHeight="1">
      <c r="A29" s="3" t="s">
        <v>496</v>
      </c>
      <c r="B29" s="3" t="s">
        <v>58</v>
      </c>
      <c r="D29" s="26" t="s">
        <v>171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1">
        <f t="shared" si="2"/>
        <v>0</v>
      </c>
      <c r="R29" s="61">
        <v>0</v>
      </c>
      <c r="S29" s="39">
        <f>Q29/Summary!$Q$16</f>
        <v>0</v>
      </c>
      <c r="T29" s="39"/>
      <c r="U29" s="35"/>
      <c r="V29" s="40">
        <f t="shared" si="3"/>
        <v>0</v>
      </c>
    </row>
    <row r="30" spans="1:22" s="3" customFormat="1" ht="25.4" customHeight="1">
      <c r="A30" s="3" t="s">
        <v>497</v>
      </c>
      <c r="B30" s="3" t="s">
        <v>58</v>
      </c>
      <c r="D30" s="26" t="s">
        <v>173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1">
        <f t="shared" si="2"/>
        <v>0</v>
      </c>
      <c r="R30" s="61">
        <v>0</v>
      </c>
      <c r="S30" s="39">
        <f>Q30/Summary!$Q$16</f>
        <v>0</v>
      </c>
      <c r="T30" s="39"/>
      <c r="U30" s="35"/>
      <c r="V30" s="40">
        <f t="shared" si="3"/>
        <v>0</v>
      </c>
    </row>
    <row r="31" spans="1:22" s="3" customFormat="1" ht="25.4" customHeight="1">
      <c r="A31" s="3" t="s">
        <v>498</v>
      </c>
      <c r="B31" s="3" t="s">
        <v>58</v>
      </c>
      <c r="D31" s="26" t="s">
        <v>499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1">
        <f t="shared" si="2"/>
        <v>0</v>
      </c>
      <c r="R31" s="61">
        <v>0</v>
      </c>
      <c r="S31" s="39">
        <f>Q31/Summary!$Q$16</f>
        <v>0</v>
      </c>
      <c r="T31" s="39"/>
      <c r="U31" s="35"/>
      <c r="V31" s="40">
        <f t="shared" si="3"/>
        <v>0</v>
      </c>
    </row>
    <row r="32" spans="1:22" s="3" customFormat="1" ht="25.4" customHeight="1">
      <c r="A32" s="3" t="s">
        <v>500</v>
      </c>
      <c r="B32" s="3" t="s">
        <v>58</v>
      </c>
      <c r="D32" s="26" t="s">
        <v>501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1">
        <f t="shared" si="2"/>
        <v>0</v>
      </c>
      <c r="R32" s="61">
        <v>0</v>
      </c>
      <c r="S32" s="39">
        <f>Q32/Summary!$Q$16</f>
        <v>0</v>
      </c>
      <c r="T32" s="39"/>
      <c r="U32" s="35"/>
      <c r="V32" s="40">
        <f t="shared" si="3"/>
        <v>0</v>
      </c>
    </row>
    <row r="33" spans="1:22" s="3" customFormat="1" ht="25.4" hidden="1" customHeight="1">
      <c r="A33" s="3" t="s">
        <v>502</v>
      </c>
      <c r="B33" s="3" t="s">
        <v>58</v>
      </c>
      <c r="D33" s="26" t="s">
        <v>503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1">
        <f t="shared" si="2"/>
        <v>0</v>
      </c>
      <c r="R33" s="61">
        <v>0</v>
      </c>
      <c r="S33" s="39">
        <f>Q33/Summary!$Q$16</f>
        <v>0</v>
      </c>
      <c r="T33" s="39"/>
      <c r="U33" s="35"/>
      <c r="V33" s="40">
        <f t="shared" si="3"/>
        <v>0</v>
      </c>
    </row>
    <row r="34" spans="1:22" s="3" customFormat="1" ht="25.4" hidden="1" customHeight="1">
      <c r="A34" s="3" t="s">
        <v>504</v>
      </c>
      <c r="B34" s="3" t="s">
        <v>58</v>
      </c>
      <c r="D34" s="26" t="s">
        <v>505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1">
        <f t="shared" si="2"/>
        <v>0</v>
      </c>
      <c r="R34" s="61">
        <v>0</v>
      </c>
      <c r="S34" s="39">
        <f>Q34/Summary!$Q$16</f>
        <v>0</v>
      </c>
      <c r="T34" s="39"/>
      <c r="U34" s="35"/>
      <c r="V34" s="40">
        <f t="shared" si="3"/>
        <v>0</v>
      </c>
    </row>
    <row r="35" spans="1:22" s="3" customFormat="1" ht="25.4" hidden="1" customHeight="1">
      <c r="A35" s="3" t="s">
        <v>506</v>
      </c>
      <c r="B35" s="3" t="s">
        <v>58</v>
      </c>
      <c r="D35" s="26" t="s">
        <v>507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1">
        <f t="shared" si="2"/>
        <v>0</v>
      </c>
      <c r="R35" s="61">
        <v>0</v>
      </c>
      <c r="S35" s="39">
        <f>Q35/Summary!$Q$16</f>
        <v>0</v>
      </c>
      <c r="T35" s="39"/>
      <c r="U35" s="35"/>
      <c r="V35" s="40">
        <f t="shared" si="3"/>
        <v>0</v>
      </c>
    </row>
    <row r="36" spans="1:22" s="3" customFormat="1" ht="25.4" hidden="1" customHeight="1">
      <c r="A36" s="3" t="s">
        <v>508</v>
      </c>
      <c r="B36" s="3" t="s">
        <v>58</v>
      </c>
      <c r="D36" s="26" t="s">
        <v>509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1">
        <f t="shared" si="2"/>
        <v>0</v>
      </c>
      <c r="R36" s="61">
        <v>0</v>
      </c>
      <c r="S36" s="39">
        <f>Q36/Summary!$Q$16</f>
        <v>0</v>
      </c>
      <c r="T36" s="39"/>
      <c r="U36" s="35"/>
      <c r="V36" s="40">
        <f t="shared" si="3"/>
        <v>0</v>
      </c>
    </row>
    <row r="37" spans="1:22" s="3" customFormat="1" ht="25.4" hidden="1" customHeight="1">
      <c r="A37" s="3" t="s">
        <v>510</v>
      </c>
      <c r="B37" s="3" t="s">
        <v>58</v>
      </c>
      <c r="D37" s="26" t="s">
        <v>511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1">
        <f t="shared" si="2"/>
        <v>0</v>
      </c>
      <c r="R37" s="61">
        <v>0</v>
      </c>
      <c r="S37" s="39">
        <f>Q37/Summary!$Q$16</f>
        <v>0</v>
      </c>
      <c r="T37" s="39"/>
      <c r="U37" s="35"/>
      <c r="V37" s="40">
        <f t="shared" si="3"/>
        <v>0</v>
      </c>
    </row>
    <row r="38" spans="1:22" s="3" customFormat="1" ht="25.4" hidden="1" customHeight="1">
      <c r="A38" s="3" t="s">
        <v>512</v>
      </c>
      <c r="B38" s="3" t="s">
        <v>58</v>
      </c>
      <c r="D38" s="26" t="s">
        <v>513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1">
        <f t="shared" si="2"/>
        <v>0</v>
      </c>
      <c r="R38" s="61">
        <v>0</v>
      </c>
      <c r="S38" s="39">
        <f>Q38/Summary!$Q$16</f>
        <v>0</v>
      </c>
      <c r="T38" s="39"/>
      <c r="U38" s="35"/>
      <c r="V38" s="40">
        <f t="shared" si="3"/>
        <v>0</v>
      </c>
    </row>
    <row r="39" spans="1:22" s="3" customFormat="1" ht="25.4" customHeight="1">
      <c r="A39" s="3" t="s">
        <v>514</v>
      </c>
      <c r="B39" s="3" t="s">
        <v>58</v>
      </c>
      <c r="D39" s="26" t="s">
        <v>515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1">
        <f t="shared" si="2"/>
        <v>0</v>
      </c>
      <c r="R39" s="61">
        <v>0</v>
      </c>
      <c r="S39" s="39">
        <f>Q39/Summary!$Q$16</f>
        <v>0</v>
      </c>
      <c r="T39" s="39"/>
      <c r="U39" s="35"/>
      <c r="V39" s="40">
        <f t="shared" si="3"/>
        <v>0</v>
      </c>
    </row>
    <row r="40" spans="1:22" s="3" customFormat="1" ht="25.4" customHeight="1">
      <c r="A40" s="3" t="s">
        <v>516</v>
      </c>
      <c r="B40" s="3" t="s">
        <v>58</v>
      </c>
      <c r="D40" s="26" t="s">
        <v>517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1">
        <f t="shared" si="2"/>
        <v>0</v>
      </c>
      <c r="R40" s="61">
        <v>0</v>
      </c>
      <c r="S40" s="39">
        <f>Q40/Summary!$Q$16</f>
        <v>0</v>
      </c>
      <c r="T40" s="39"/>
      <c r="U40" s="35"/>
      <c r="V40" s="40">
        <f t="shared" si="3"/>
        <v>0</v>
      </c>
    </row>
    <row r="41" spans="1:22" s="3" customFormat="1" ht="25.4" customHeight="1">
      <c r="A41" s="3" t="s">
        <v>518</v>
      </c>
      <c r="B41" s="3" t="s">
        <v>58</v>
      </c>
      <c r="D41" s="26" t="s">
        <v>519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1">
        <f t="shared" si="2"/>
        <v>0</v>
      </c>
      <c r="R41" s="61">
        <v>0</v>
      </c>
      <c r="S41" s="39">
        <f>Q41/Summary!$Q$16</f>
        <v>0</v>
      </c>
      <c r="T41" s="39"/>
      <c r="U41" s="35"/>
      <c r="V41" s="40">
        <f t="shared" si="3"/>
        <v>0</v>
      </c>
    </row>
    <row r="42" spans="1:22" s="3" customFormat="1" ht="25.4" customHeight="1">
      <c r="A42" s="3" t="s">
        <v>520</v>
      </c>
      <c r="B42" s="3" t="s">
        <v>58</v>
      </c>
      <c r="D42" s="26" t="s">
        <v>521</v>
      </c>
      <c r="E42" s="43">
        <v>70</v>
      </c>
      <c r="F42" s="43">
        <v>70</v>
      </c>
      <c r="G42" s="43">
        <v>70</v>
      </c>
      <c r="H42" s="43">
        <v>70</v>
      </c>
      <c r="I42" s="43">
        <v>70</v>
      </c>
      <c r="J42" s="43">
        <v>70</v>
      </c>
      <c r="K42" s="43">
        <v>70</v>
      </c>
      <c r="L42" s="43">
        <v>70</v>
      </c>
      <c r="M42" s="43">
        <v>70</v>
      </c>
      <c r="N42" s="43">
        <v>70</v>
      </c>
      <c r="O42" s="43">
        <v>70</v>
      </c>
      <c r="P42" s="43">
        <v>70</v>
      </c>
      <c r="Q42" s="41">
        <f t="shared" si="2"/>
        <v>840</v>
      </c>
      <c r="R42" s="61">
        <v>0</v>
      </c>
      <c r="S42" s="39">
        <f>Q42/Summary!$Q$16</f>
        <v>1.0546108006046756E-5</v>
      </c>
      <c r="T42" s="39"/>
      <c r="U42" s="35"/>
      <c r="V42" s="40" t="e">
        <f t="shared" si="3"/>
        <v>#DIV/0!</v>
      </c>
    </row>
    <row r="43" spans="1:22" s="3" customFormat="1" ht="25.4" customHeight="1">
      <c r="A43" s="3" t="s">
        <v>522</v>
      </c>
      <c r="B43" s="3" t="s">
        <v>58</v>
      </c>
      <c r="D43" s="26" t="s">
        <v>1203</v>
      </c>
      <c r="E43" s="43">
        <f>12*E197</f>
        <v>216</v>
      </c>
      <c r="F43" s="43">
        <f t="shared" ref="F43:P43" si="4">12*F197</f>
        <v>216</v>
      </c>
      <c r="G43" s="43">
        <f t="shared" si="4"/>
        <v>216</v>
      </c>
      <c r="H43" s="43">
        <f t="shared" si="4"/>
        <v>216</v>
      </c>
      <c r="I43" s="43">
        <f t="shared" si="4"/>
        <v>216</v>
      </c>
      <c r="J43" s="43">
        <f t="shared" si="4"/>
        <v>216</v>
      </c>
      <c r="K43" s="43">
        <f t="shared" si="4"/>
        <v>216</v>
      </c>
      <c r="L43" s="43">
        <f t="shared" si="4"/>
        <v>216</v>
      </c>
      <c r="M43" s="43">
        <f t="shared" si="4"/>
        <v>216</v>
      </c>
      <c r="N43" s="43">
        <f t="shared" si="4"/>
        <v>216</v>
      </c>
      <c r="O43" s="43">
        <f t="shared" si="4"/>
        <v>216</v>
      </c>
      <c r="P43" s="43">
        <f t="shared" si="4"/>
        <v>216</v>
      </c>
      <c r="Q43" s="41">
        <f t="shared" si="2"/>
        <v>2592</v>
      </c>
      <c r="R43" s="61">
        <v>10226.85</v>
      </c>
      <c r="S43" s="39">
        <f>Q43/Summary!$Q$16</f>
        <v>3.254227613294427E-5</v>
      </c>
      <c r="T43" s="39"/>
      <c r="U43" s="35"/>
      <c r="V43" s="40" t="e">
        <f t="shared" si="3"/>
        <v>#DIV/0!</v>
      </c>
    </row>
    <row r="44" spans="1:22" s="3" customFormat="1" ht="25.4" hidden="1" customHeight="1">
      <c r="A44" s="3" t="s">
        <v>524</v>
      </c>
      <c r="B44" s="3" t="s">
        <v>58</v>
      </c>
      <c r="D44" s="26" t="s">
        <v>525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1">
        <f t="shared" si="2"/>
        <v>0</v>
      </c>
      <c r="R44" s="61">
        <v>0</v>
      </c>
      <c r="S44" s="39">
        <f>Q44/Summary!$Q$16</f>
        <v>0</v>
      </c>
      <c r="T44" s="39"/>
      <c r="U44" s="35"/>
      <c r="V44" s="40">
        <f t="shared" si="3"/>
        <v>0</v>
      </c>
    </row>
    <row r="45" spans="1:22" s="3" customFormat="1" ht="25.4" hidden="1" customHeight="1">
      <c r="A45" s="3" t="s">
        <v>526</v>
      </c>
      <c r="B45" s="3" t="s">
        <v>58</v>
      </c>
      <c r="D45" s="26" t="s">
        <v>527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1">
        <f t="shared" si="2"/>
        <v>0</v>
      </c>
      <c r="R45" s="61">
        <v>0</v>
      </c>
      <c r="S45" s="39">
        <f>Q45/Summary!$Q$16</f>
        <v>0</v>
      </c>
      <c r="T45" s="39"/>
      <c r="U45" s="35"/>
      <c r="V45" s="40">
        <f t="shared" si="3"/>
        <v>0</v>
      </c>
    </row>
    <row r="46" spans="1:22" s="3" customFormat="1" ht="25.4" hidden="1" customHeight="1">
      <c r="A46" s="3" t="s">
        <v>528</v>
      </c>
      <c r="B46" s="3" t="s">
        <v>58</v>
      </c>
      <c r="D46" s="26" t="s">
        <v>529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1">
        <f t="shared" si="2"/>
        <v>0</v>
      </c>
      <c r="R46" s="61">
        <v>0</v>
      </c>
      <c r="S46" s="39">
        <f>Q46/Summary!$Q$16</f>
        <v>0</v>
      </c>
      <c r="T46" s="39"/>
      <c r="U46" s="35"/>
      <c r="V46" s="40">
        <f t="shared" si="3"/>
        <v>0</v>
      </c>
    </row>
    <row r="47" spans="1:22" s="3" customFormat="1" ht="25.4" hidden="1" customHeight="1">
      <c r="A47" s="3" t="s">
        <v>530</v>
      </c>
      <c r="B47" s="3" t="s">
        <v>58</v>
      </c>
      <c r="D47" s="26" t="s">
        <v>531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1">
        <f t="shared" si="2"/>
        <v>0</v>
      </c>
      <c r="R47" s="61">
        <v>0</v>
      </c>
      <c r="S47" s="39">
        <f>Q47/Summary!$Q$16</f>
        <v>0</v>
      </c>
      <c r="T47" s="39"/>
      <c r="U47" s="35"/>
      <c r="V47" s="40">
        <f t="shared" si="3"/>
        <v>0</v>
      </c>
    </row>
    <row r="48" spans="1:22" s="3" customFormat="1" ht="25.4" hidden="1" customHeight="1">
      <c r="A48" s="3" t="s">
        <v>532</v>
      </c>
      <c r="B48" s="3" t="s">
        <v>58</v>
      </c>
      <c r="D48" s="26" t="s">
        <v>533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1">
        <f t="shared" si="2"/>
        <v>0</v>
      </c>
      <c r="R48" s="61">
        <v>0</v>
      </c>
      <c r="S48" s="39">
        <f>Q48/Summary!$Q$16</f>
        <v>0</v>
      </c>
      <c r="T48" s="39"/>
      <c r="U48" s="35"/>
      <c r="V48" s="40">
        <f t="shared" si="3"/>
        <v>0</v>
      </c>
    </row>
    <row r="49" spans="1:22" s="3" customFormat="1" ht="25.4" hidden="1" customHeight="1">
      <c r="A49" s="3" t="s">
        <v>534</v>
      </c>
      <c r="B49" s="3" t="s">
        <v>58</v>
      </c>
      <c r="D49" s="26" t="s">
        <v>535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1">
        <f t="shared" si="2"/>
        <v>0</v>
      </c>
      <c r="R49" s="61">
        <v>0</v>
      </c>
      <c r="S49" s="39">
        <f>Q49/Summary!$Q$16</f>
        <v>0</v>
      </c>
      <c r="T49" s="39"/>
      <c r="U49" s="35"/>
      <c r="V49" s="40">
        <f t="shared" si="3"/>
        <v>0</v>
      </c>
    </row>
    <row r="50" spans="1:22" s="3" customFormat="1" ht="25.4" hidden="1" customHeight="1">
      <c r="A50" s="3" t="s">
        <v>536</v>
      </c>
      <c r="B50" s="3" t="s">
        <v>58</v>
      </c>
      <c r="D50" s="26" t="s">
        <v>537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1">
        <f t="shared" si="2"/>
        <v>0</v>
      </c>
      <c r="R50" s="61">
        <v>631.37</v>
      </c>
      <c r="S50" s="39">
        <f>Q50/Summary!$Q$16</f>
        <v>0</v>
      </c>
      <c r="T50" s="39"/>
      <c r="U50" s="35"/>
      <c r="V50" s="40">
        <f t="shared" si="3"/>
        <v>0</v>
      </c>
    </row>
    <row r="51" spans="1:22" s="3" customFormat="1" ht="25.4" hidden="1" customHeight="1">
      <c r="A51" s="3" t="s">
        <v>538</v>
      </c>
      <c r="B51" s="3" t="s">
        <v>58</v>
      </c>
      <c r="D51" s="26" t="s">
        <v>539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1">
        <f t="shared" si="2"/>
        <v>0</v>
      </c>
      <c r="R51" s="61">
        <v>0</v>
      </c>
      <c r="S51" s="39">
        <f>Q51/Summary!$Q$16</f>
        <v>0</v>
      </c>
      <c r="T51" s="39"/>
      <c r="U51" s="35"/>
      <c r="V51" s="40">
        <f t="shared" si="3"/>
        <v>0</v>
      </c>
    </row>
    <row r="52" spans="1:22" s="3" customFormat="1" ht="25.4" hidden="1" customHeight="1">
      <c r="A52" s="3" t="s">
        <v>540</v>
      </c>
      <c r="B52" s="3" t="s">
        <v>58</v>
      </c>
      <c r="D52" s="26" t="s">
        <v>541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1">
        <f t="shared" si="2"/>
        <v>0</v>
      </c>
      <c r="R52" s="61">
        <v>0</v>
      </c>
      <c r="S52" s="39">
        <f>Q52/Summary!$Q$16</f>
        <v>0</v>
      </c>
      <c r="T52" s="39"/>
      <c r="U52" s="35"/>
      <c r="V52" s="40">
        <f t="shared" si="3"/>
        <v>0</v>
      </c>
    </row>
    <row r="53" spans="1:22" s="3" customFormat="1" ht="25.4" hidden="1" customHeight="1">
      <c r="A53" s="3" t="s">
        <v>542</v>
      </c>
      <c r="B53" s="3" t="s">
        <v>58</v>
      </c>
      <c r="D53" s="26" t="s">
        <v>543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1">
        <f t="shared" si="2"/>
        <v>0</v>
      </c>
      <c r="R53" s="61">
        <v>0</v>
      </c>
      <c r="S53" s="39">
        <f>Q53/Summary!$Q$16</f>
        <v>0</v>
      </c>
      <c r="T53" s="39"/>
      <c r="U53" s="35"/>
      <c r="V53" s="40">
        <f t="shared" si="3"/>
        <v>0</v>
      </c>
    </row>
    <row r="54" spans="1:22" s="3" customFormat="1" ht="25.4" hidden="1" customHeight="1">
      <c r="A54" s="3" t="s">
        <v>544</v>
      </c>
      <c r="B54" s="3" t="s">
        <v>58</v>
      </c>
      <c r="D54" s="26" t="s">
        <v>545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1">
        <f t="shared" si="2"/>
        <v>0</v>
      </c>
      <c r="R54" s="61">
        <v>0</v>
      </c>
      <c r="S54" s="39">
        <f>Q54/Summary!$Q$16</f>
        <v>0</v>
      </c>
      <c r="T54" s="39"/>
      <c r="U54" s="35"/>
      <c r="V54" s="40">
        <f t="shared" si="3"/>
        <v>0</v>
      </c>
    </row>
    <row r="55" spans="1:22" s="3" customFormat="1" ht="25.4" hidden="1" customHeight="1">
      <c r="A55" s="3" t="s">
        <v>546</v>
      </c>
      <c r="B55" s="3" t="s">
        <v>58</v>
      </c>
      <c r="D55" s="26" t="s">
        <v>547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1">
        <f t="shared" si="2"/>
        <v>0</v>
      </c>
      <c r="R55" s="61">
        <v>0</v>
      </c>
      <c r="S55" s="39">
        <f>Q55/Summary!$Q$16</f>
        <v>0</v>
      </c>
      <c r="T55" s="39"/>
      <c r="U55" s="35"/>
      <c r="V55" s="40">
        <f t="shared" si="3"/>
        <v>0</v>
      </c>
    </row>
    <row r="56" spans="1:22" s="3" customFormat="1" ht="25.4" hidden="1" customHeight="1">
      <c r="A56" s="3" t="s">
        <v>548</v>
      </c>
      <c r="B56" s="3" t="s">
        <v>58</v>
      </c>
      <c r="D56" s="26" t="s">
        <v>1227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1">
        <f t="shared" si="2"/>
        <v>0</v>
      </c>
      <c r="R56" s="61">
        <v>0</v>
      </c>
      <c r="S56" s="39">
        <f>Q56/Summary!$Q$16</f>
        <v>0</v>
      </c>
      <c r="T56" s="39"/>
      <c r="U56" s="35"/>
      <c r="V56" s="40">
        <f t="shared" si="3"/>
        <v>0</v>
      </c>
    </row>
    <row r="57" spans="1:22" s="3" customFormat="1" ht="25.4" hidden="1" customHeight="1">
      <c r="A57" s="3" t="s">
        <v>550</v>
      </c>
      <c r="B57" s="3" t="s">
        <v>58</v>
      </c>
      <c r="D57" s="26" t="s">
        <v>551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1">
        <f t="shared" si="2"/>
        <v>0</v>
      </c>
      <c r="R57" s="61">
        <v>0</v>
      </c>
      <c r="S57" s="39">
        <f>Q57/Summary!$Q$16</f>
        <v>0</v>
      </c>
      <c r="T57" s="39"/>
      <c r="U57" s="35"/>
      <c r="V57" s="40">
        <f t="shared" si="3"/>
        <v>0</v>
      </c>
    </row>
    <row r="58" spans="1:22" s="3" customFormat="1" ht="25.4" hidden="1" customHeight="1">
      <c r="A58" s="3" t="s">
        <v>552</v>
      </c>
      <c r="B58" s="3" t="s">
        <v>58</v>
      </c>
      <c r="D58" s="26" t="s">
        <v>553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1">
        <f t="shared" si="2"/>
        <v>0</v>
      </c>
      <c r="R58" s="61">
        <v>0</v>
      </c>
      <c r="S58" s="39">
        <f>Q58/Summary!$Q$16</f>
        <v>0</v>
      </c>
      <c r="T58" s="39"/>
      <c r="U58" s="35"/>
      <c r="V58" s="40">
        <f t="shared" si="3"/>
        <v>0</v>
      </c>
    </row>
    <row r="59" spans="1:22" s="3" customFormat="1" ht="25.4" hidden="1" customHeight="1">
      <c r="A59" s="3" t="s">
        <v>554</v>
      </c>
      <c r="B59" s="3" t="s">
        <v>58</v>
      </c>
      <c r="D59" s="26" t="s">
        <v>555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1">
        <f t="shared" si="2"/>
        <v>0</v>
      </c>
      <c r="R59" s="61">
        <v>0</v>
      </c>
      <c r="S59" s="39">
        <f>Q59/Summary!$Q$16</f>
        <v>0</v>
      </c>
      <c r="T59" s="39"/>
      <c r="U59" s="35"/>
      <c r="V59" s="40">
        <f t="shared" si="3"/>
        <v>0</v>
      </c>
    </row>
    <row r="60" spans="1:22" s="3" customFormat="1" ht="25.4" hidden="1" customHeight="1">
      <c r="A60" s="3" t="s">
        <v>556</v>
      </c>
      <c r="B60" s="3" t="s">
        <v>58</v>
      </c>
      <c r="D60" s="26" t="s">
        <v>557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1">
        <f t="shared" si="2"/>
        <v>0</v>
      </c>
      <c r="R60" s="61">
        <v>0</v>
      </c>
      <c r="S60" s="39">
        <f>Q60/Summary!$Q$16</f>
        <v>0</v>
      </c>
      <c r="T60" s="39"/>
      <c r="U60" s="35"/>
      <c r="V60" s="40">
        <f t="shared" si="3"/>
        <v>0</v>
      </c>
    </row>
    <row r="61" spans="1:22" s="3" customFormat="1" ht="25.4" hidden="1" customHeight="1">
      <c r="A61" s="3" t="s">
        <v>558</v>
      </c>
      <c r="B61" s="3" t="s">
        <v>58</v>
      </c>
      <c r="D61" s="26" t="s">
        <v>559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1">
        <f t="shared" si="2"/>
        <v>0</v>
      </c>
      <c r="R61" s="61">
        <v>0</v>
      </c>
      <c r="S61" s="39">
        <f>Q61/Summary!$Q$16</f>
        <v>0</v>
      </c>
      <c r="T61" s="39"/>
      <c r="U61" s="35"/>
      <c r="V61" s="40">
        <f t="shared" si="3"/>
        <v>0</v>
      </c>
    </row>
    <row r="62" spans="1:22" s="3" customFormat="1" ht="25.4" hidden="1" customHeight="1">
      <c r="A62" s="3" t="s">
        <v>560</v>
      </c>
      <c r="B62" s="3" t="s">
        <v>58</v>
      </c>
      <c r="D62" s="26" t="s">
        <v>561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1">
        <f t="shared" si="2"/>
        <v>0</v>
      </c>
      <c r="R62" s="61">
        <v>0</v>
      </c>
      <c r="S62" s="39">
        <f>Q62/Summary!$Q$16</f>
        <v>0</v>
      </c>
      <c r="T62" s="39"/>
      <c r="U62" s="35"/>
      <c r="V62" s="40">
        <f t="shared" si="3"/>
        <v>0</v>
      </c>
    </row>
    <row r="63" spans="1:22" s="3" customFormat="1" ht="25.4" hidden="1" customHeight="1">
      <c r="A63" s="3" t="s">
        <v>562</v>
      </c>
      <c r="B63" s="3" t="s">
        <v>58</v>
      </c>
      <c r="D63" s="26" t="s">
        <v>563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1">
        <f t="shared" si="2"/>
        <v>0</v>
      </c>
      <c r="R63" s="61">
        <v>0</v>
      </c>
      <c r="S63" s="39">
        <f>Q63/Summary!$Q$16</f>
        <v>0</v>
      </c>
      <c r="T63" s="39"/>
      <c r="U63" s="35"/>
      <c r="V63" s="40">
        <f t="shared" si="3"/>
        <v>0</v>
      </c>
    </row>
    <row r="64" spans="1:22" s="3" customFormat="1" ht="25.4" hidden="1" customHeight="1">
      <c r="A64" s="3" t="s">
        <v>564</v>
      </c>
      <c r="B64" s="3" t="s">
        <v>58</v>
      </c>
      <c r="D64" s="26" t="s">
        <v>565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1">
        <f t="shared" si="2"/>
        <v>0</v>
      </c>
      <c r="R64" s="61">
        <v>0</v>
      </c>
      <c r="S64" s="39">
        <f>Q64/Summary!$Q$16</f>
        <v>0</v>
      </c>
      <c r="T64" s="39"/>
      <c r="U64" s="35"/>
      <c r="V64" s="40">
        <f t="shared" si="3"/>
        <v>0</v>
      </c>
    </row>
    <row r="65" spans="1:25" s="3" customFormat="1" ht="25.4" hidden="1" customHeight="1">
      <c r="A65" s="3" t="s">
        <v>566</v>
      </c>
      <c r="B65" s="3" t="s">
        <v>58</v>
      </c>
      <c r="D65" s="26" t="s">
        <v>567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1">
        <f t="shared" si="2"/>
        <v>0</v>
      </c>
      <c r="R65" s="61">
        <v>0</v>
      </c>
      <c r="S65" s="39">
        <f>Q65/Summary!$Q$16</f>
        <v>0</v>
      </c>
      <c r="T65" s="39"/>
      <c r="U65" s="35"/>
      <c r="V65" s="40">
        <f t="shared" si="3"/>
        <v>0</v>
      </c>
    </row>
    <row r="66" spans="1:25" s="3" customFormat="1" ht="25.4" hidden="1" customHeight="1">
      <c r="A66" s="3" t="s">
        <v>568</v>
      </c>
      <c r="B66" s="3" t="s">
        <v>58</v>
      </c>
      <c r="D66" s="26" t="s">
        <v>569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1">
        <f t="shared" si="2"/>
        <v>0</v>
      </c>
      <c r="R66" s="61">
        <v>0</v>
      </c>
      <c r="S66" s="39">
        <f>Q66/Summary!$Q$16</f>
        <v>0</v>
      </c>
      <c r="T66" s="39"/>
      <c r="U66" s="35"/>
      <c r="V66" s="40">
        <f t="shared" si="3"/>
        <v>0</v>
      </c>
    </row>
    <row r="67" spans="1:25" s="3" customFormat="1" ht="25.4" hidden="1" customHeight="1">
      <c r="A67" s="3" t="s">
        <v>570</v>
      </c>
      <c r="B67" s="3" t="s">
        <v>58</v>
      </c>
      <c r="D67" s="26" t="s">
        <v>571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1">
        <f t="shared" si="2"/>
        <v>0</v>
      </c>
      <c r="R67" s="61">
        <v>0</v>
      </c>
      <c r="S67" s="39">
        <f>Q67/Summary!$Q$16</f>
        <v>0</v>
      </c>
      <c r="T67" s="39"/>
      <c r="U67" s="35"/>
      <c r="V67" s="40">
        <f t="shared" si="3"/>
        <v>0</v>
      </c>
    </row>
    <row r="68" spans="1:25" s="3" customFormat="1" ht="25.4" customHeight="1">
      <c r="A68" s="3" t="s">
        <v>572</v>
      </c>
      <c r="B68" s="3" t="s">
        <v>58</v>
      </c>
      <c r="D68" s="26" t="s">
        <v>573</v>
      </c>
      <c r="E68" s="43">
        <v>100</v>
      </c>
      <c r="F68" s="43">
        <v>100</v>
      </c>
      <c r="G68" s="43">
        <v>100</v>
      </c>
      <c r="H68" s="43">
        <v>100</v>
      </c>
      <c r="I68" s="43">
        <v>100</v>
      </c>
      <c r="J68" s="43">
        <v>100</v>
      </c>
      <c r="K68" s="43">
        <v>100</v>
      </c>
      <c r="L68" s="43">
        <v>100</v>
      </c>
      <c r="M68" s="43">
        <v>100</v>
      </c>
      <c r="N68" s="43">
        <v>100</v>
      </c>
      <c r="O68" s="43">
        <v>100</v>
      </c>
      <c r="P68" s="43">
        <v>100</v>
      </c>
      <c r="Q68" s="41">
        <f t="shared" si="2"/>
        <v>1200</v>
      </c>
      <c r="R68" s="61">
        <v>44.3</v>
      </c>
      <c r="S68" s="39">
        <f>Q68/Summary!$Q$16</f>
        <v>1.5065868580066794E-5</v>
      </c>
      <c r="T68" s="39"/>
      <c r="U68" s="35"/>
      <c r="V68" s="40"/>
    </row>
    <row r="69" spans="1:25" s="3" customFormat="1" ht="25.4" customHeight="1">
      <c r="A69" s="3" t="s">
        <v>574</v>
      </c>
      <c r="B69" s="3" t="s">
        <v>58</v>
      </c>
      <c r="D69" s="26" t="s">
        <v>1228</v>
      </c>
      <c r="E69" s="43">
        <v>760</v>
      </c>
      <c r="F69" s="43">
        <v>760</v>
      </c>
      <c r="G69" s="43">
        <v>760</v>
      </c>
      <c r="H69" s="43">
        <v>760</v>
      </c>
      <c r="I69" s="43">
        <v>760</v>
      </c>
      <c r="J69" s="43">
        <v>760</v>
      </c>
      <c r="K69" s="43">
        <v>760</v>
      </c>
      <c r="L69" s="43">
        <v>760</v>
      </c>
      <c r="M69" s="43">
        <v>760</v>
      </c>
      <c r="N69" s="43">
        <v>760</v>
      </c>
      <c r="O69" s="43">
        <v>760</v>
      </c>
      <c r="P69" s="43">
        <v>760</v>
      </c>
      <c r="Q69" s="41">
        <f t="shared" si="2"/>
        <v>9120</v>
      </c>
      <c r="R69" s="61">
        <v>2098.86</v>
      </c>
      <c r="S69" s="39">
        <f>Q69/Summary!$Q$16</f>
        <v>1.1450060120850762E-4</v>
      </c>
      <c r="T69" s="39"/>
      <c r="U69" s="35"/>
      <c r="V69" s="40" t="e">
        <f t="shared" si="3"/>
        <v>#DIV/0!</v>
      </c>
      <c r="X69" s="3" t="s">
        <v>1231</v>
      </c>
      <c r="Y69" s="3">
        <v>380</v>
      </c>
    </row>
    <row r="70" spans="1:25" s="3" customFormat="1" ht="25.4" customHeight="1">
      <c r="A70" s="3" t="s">
        <v>576</v>
      </c>
      <c r="B70" s="3" t="s">
        <v>58</v>
      </c>
      <c r="D70" s="26" t="s">
        <v>1234</v>
      </c>
      <c r="E70" s="43">
        <v>5261.4000000000015</v>
      </c>
      <c r="F70" s="43">
        <v>4626.5399999999972</v>
      </c>
      <c r="G70" s="43">
        <v>4507.3799999999992</v>
      </c>
      <c r="H70" s="43">
        <v>4621.6800000000021</v>
      </c>
      <c r="I70" s="43">
        <v>4551.2999999999993</v>
      </c>
      <c r="J70" s="43">
        <v>4191.8400000000011</v>
      </c>
      <c r="K70" s="43">
        <v>4073.9399999999991</v>
      </c>
      <c r="L70" s="43">
        <v>4088.3400000000015</v>
      </c>
      <c r="M70" s="43">
        <v>4172.22</v>
      </c>
      <c r="N70" s="43">
        <v>4513.1399999999994</v>
      </c>
      <c r="O70" s="43">
        <v>4044.78</v>
      </c>
      <c r="P70" s="43">
        <v>4003.2000000000012</v>
      </c>
      <c r="Q70" s="41">
        <f t="shared" si="2"/>
        <v>52655.76</v>
      </c>
      <c r="R70" s="61">
        <v>5272.55</v>
      </c>
      <c r="S70" s="39">
        <f>Q70/Summary!$Q$16</f>
        <v>6.610873001196149E-4</v>
      </c>
      <c r="T70" s="39"/>
      <c r="U70" s="35"/>
      <c r="V70" s="40" t="e">
        <f t="shared" si="3"/>
        <v>#DIV/0!</v>
      </c>
    </row>
    <row r="71" spans="1:25" s="3" customFormat="1" ht="25.4" customHeight="1">
      <c r="A71" s="3" t="s">
        <v>578</v>
      </c>
      <c r="B71" s="3" t="s">
        <v>58</v>
      </c>
      <c r="D71" s="26" t="s">
        <v>579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1">
        <f t="shared" si="2"/>
        <v>0</v>
      </c>
      <c r="R71" s="61">
        <v>0</v>
      </c>
      <c r="S71" s="39">
        <f>Q71/Summary!$Q$16</f>
        <v>0</v>
      </c>
      <c r="T71" s="39"/>
      <c r="U71" s="35"/>
      <c r="V71" s="40">
        <f t="shared" si="3"/>
        <v>0</v>
      </c>
    </row>
    <row r="72" spans="1:25" s="3" customFormat="1" ht="25.4" customHeight="1">
      <c r="A72" s="3" t="s">
        <v>580</v>
      </c>
      <c r="B72" s="3" t="s">
        <v>58</v>
      </c>
      <c r="D72" s="26" t="s">
        <v>1172</v>
      </c>
      <c r="E72" s="43">
        <v>500</v>
      </c>
      <c r="F72" s="43">
        <v>500</v>
      </c>
      <c r="G72" s="43">
        <v>500</v>
      </c>
      <c r="H72" s="43">
        <v>500</v>
      </c>
      <c r="I72" s="43">
        <v>500</v>
      </c>
      <c r="J72" s="43">
        <v>500</v>
      </c>
      <c r="K72" s="43">
        <v>500</v>
      </c>
      <c r="L72" s="43">
        <v>500</v>
      </c>
      <c r="M72" s="43">
        <v>500</v>
      </c>
      <c r="N72" s="43">
        <v>500</v>
      </c>
      <c r="O72" s="43">
        <v>500</v>
      </c>
      <c r="P72" s="43">
        <v>500</v>
      </c>
      <c r="Q72" s="41">
        <f t="shared" si="2"/>
        <v>6000</v>
      </c>
      <c r="R72" s="61">
        <v>8035</v>
      </c>
      <c r="S72" s="39">
        <f>Q72/Summary!$Q$16</f>
        <v>7.5329342900333965E-5</v>
      </c>
      <c r="T72" s="39"/>
      <c r="U72" s="35"/>
      <c r="V72" s="40" t="e">
        <f t="shared" si="3"/>
        <v>#DIV/0!</v>
      </c>
      <c r="X72" s="3" t="s">
        <v>1225</v>
      </c>
      <c r="Y72" s="3">
        <v>500</v>
      </c>
    </row>
    <row r="73" spans="1:25" s="3" customFormat="1" ht="25.4" customHeight="1">
      <c r="A73" s="3" t="s">
        <v>582</v>
      </c>
      <c r="B73" s="3" t="s">
        <v>58</v>
      </c>
      <c r="D73" s="26" t="s">
        <v>583</v>
      </c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1">
        <f t="shared" si="2"/>
        <v>0</v>
      </c>
      <c r="R73" s="61">
        <v>0</v>
      </c>
      <c r="S73" s="39">
        <f>Q73/Summary!$Q$16</f>
        <v>0</v>
      </c>
      <c r="T73" s="39"/>
      <c r="U73" s="35"/>
      <c r="V73" s="40">
        <f t="shared" si="3"/>
        <v>0</v>
      </c>
    </row>
    <row r="74" spans="1:25" s="3" customFormat="1" ht="25.4" customHeight="1">
      <c r="A74" s="3" t="s">
        <v>584</v>
      </c>
      <c r="B74" s="3" t="s">
        <v>58</v>
      </c>
      <c r="D74" s="26" t="s">
        <v>585</v>
      </c>
      <c r="E74" s="43">
        <v>100</v>
      </c>
      <c r="F74" s="43">
        <v>100</v>
      </c>
      <c r="G74" s="43">
        <v>100</v>
      </c>
      <c r="H74" s="43">
        <v>100</v>
      </c>
      <c r="I74" s="43">
        <v>100</v>
      </c>
      <c r="J74" s="43">
        <v>100</v>
      </c>
      <c r="K74" s="43">
        <v>100</v>
      </c>
      <c r="L74" s="43">
        <v>100</v>
      </c>
      <c r="M74" s="43">
        <v>100</v>
      </c>
      <c r="N74" s="43">
        <v>100</v>
      </c>
      <c r="O74" s="43">
        <v>100</v>
      </c>
      <c r="P74" s="43">
        <v>100</v>
      </c>
      <c r="Q74" s="41">
        <f t="shared" si="2"/>
        <v>1200</v>
      </c>
      <c r="R74" s="61">
        <v>1157.96</v>
      </c>
      <c r="S74" s="39">
        <f>Q74/Summary!$Q$16</f>
        <v>1.5065868580066794E-5</v>
      </c>
      <c r="T74" s="39"/>
      <c r="U74" s="35"/>
      <c r="V74" s="40" t="e">
        <f t="shared" si="3"/>
        <v>#DIV/0!</v>
      </c>
    </row>
    <row r="75" spans="1:25" s="3" customFormat="1" ht="24.75" customHeight="1">
      <c r="A75" s="3" t="s">
        <v>586</v>
      </c>
      <c r="B75" s="3" t="s">
        <v>58</v>
      </c>
      <c r="D75" s="26" t="s">
        <v>587</v>
      </c>
      <c r="E75" s="63">
        <v>1000</v>
      </c>
      <c r="F75" s="63">
        <v>1000</v>
      </c>
      <c r="G75" s="63">
        <v>1000</v>
      </c>
      <c r="H75" s="63">
        <v>1000</v>
      </c>
      <c r="I75" s="63">
        <v>1000</v>
      </c>
      <c r="J75" s="63">
        <v>1000</v>
      </c>
      <c r="K75" s="63">
        <v>1000</v>
      </c>
      <c r="L75" s="63">
        <v>1000</v>
      </c>
      <c r="M75" s="63">
        <v>1000</v>
      </c>
      <c r="N75" s="63">
        <v>1000</v>
      </c>
      <c r="O75" s="63">
        <v>1000</v>
      </c>
      <c r="P75" s="63">
        <v>1000</v>
      </c>
      <c r="Q75" s="41">
        <f t="shared" si="2"/>
        <v>12000</v>
      </c>
      <c r="R75" s="61">
        <v>5306.2</v>
      </c>
      <c r="S75" s="39">
        <f>Q75/Summary!$Q$16</f>
        <v>1.5065868580066793E-4</v>
      </c>
      <c r="T75" s="39"/>
      <c r="U75" s="35"/>
      <c r="V75" s="40" t="e">
        <f t="shared" si="3"/>
        <v>#DIV/0!</v>
      </c>
    </row>
    <row r="76" spans="1:25" s="3" customFormat="1" ht="25.4" hidden="1" customHeight="1">
      <c r="A76" s="3" t="s">
        <v>588</v>
      </c>
      <c r="B76" s="3" t="s">
        <v>58</v>
      </c>
      <c r="D76" s="26" t="s">
        <v>589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41">
        <f t="shared" si="2"/>
        <v>0</v>
      </c>
      <c r="R76" s="61">
        <v>0</v>
      </c>
      <c r="S76" s="39">
        <f>Q76/Summary!$Q$16</f>
        <v>0</v>
      </c>
      <c r="T76" s="39"/>
      <c r="U76" s="35"/>
      <c r="V76" s="40">
        <f t="shared" si="3"/>
        <v>0</v>
      </c>
    </row>
    <row r="77" spans="1:25" s="3" customFormat="1" ht="25.4" hidden="1" customHeight="1">
      <c r="A77" s="3" t="s">
        <v>590</v>
      </c>
      <c r="B77" s="3" t="s">
        <v>58</v>
      </c>
      <c r="D77" s="26" t="s">
        <v>591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41">
        <f t="shared" si="2"/>
        <v>0</v>
      </c>
      <c r="R77" s="61">
        <v>0</v>
      </c>
      <c r="S77" s="39">
        <f>Q77/Summary!$Q$16</f>
        <v>0</v>
      </c>
      <c r="T77" s="39"/>
      <c r="U77" s="35"/>
      <c r="V77" s="40">
        <f t="shared" si="3"/>
        <v>0</v>
      </c>
    </row>
    <row r="78" spans="1:25" s="3" customFormat="1" ht="25.4" customHeight="1">
      <c r="A78" s="3" t="s">
        <v>592</v>
      </c>
      <c r="B78" s="3" t="s">
        <v>58</v>
      </c>
      <c r="D78" s="26" t="s">
        <v>593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41">
        <f t="shared" si="2"/>
        <v>0</v>
      </c>
      <c r="R78" s="61">
        <v>0</v>
      </c>
      <c r="S78" s="39">
        <f>Q78/Summary!$Q$16</f>
        <v>0</v>
      </c>
      <c r="T78" s="39"/>
      <c r="U78" s="35"/>
      <c r="V78" s="40">
        <f t="shared" si="3"/>
        <v>0</v>
      </c>
    </row>
    <row r="79" spans="1:25" s="3" customFormat="1" ht="25.4" hidden="1" customHeight="1">
      <c r="A79" s="3" t="s">
        <v>848</v>
      </c>
      <c r="B79" s="3" t="s">
        <v>58</v>
      </c>
      <c r="D79" s="26" t="s">
        <v>849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41">
        <f t="shared" si="2"/>
        <v>0</v>
      </c>
      <c r="R79" s="61">
        <v>0</v>
      </c>
      <c r="S79" s="39">
        <f>Q79/Summary!$Q$16</f>
        <v>0</v>
      </c>
      <c r="T79" s="39"/>
      <c r="U79" s="35"/>
      <c r="V79" s="40">
        <f t="shared" si="3"/>
        <v>0</v>
      </c>
    </row>
    <row r="80" spans="1:25" s="3" customFormat="1" ht="25.4" hidden="1" customHeight="1">
      <c r="A80" s="3" t="s">
        <v>850</v>
      </c>
      <c r="B80" s="3" t="s">
        <v>58</v>
      </c>
      <c r="D80" s="26" t="s">
        <v>851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41">
        <f t="shared" ref="Q80:Q143" si="5">SUM(E80:P80)</f>
        <v>0</v>
      </c>
      <c r="R80" s="61">
        <v>0</v>
      </c>
      <c r="S80" s="39">
        <f>Q80/Summary!$Q$16</f>
        <v>0</v>
      </c>
      <c r="T80" s="39"/>
      <c r="U80" s="35"/>
      <c r="V80" s="40">
        <f t="shared" si="3"/>
        <v>0</v>
      </c>
    </row>
    <row r="81" spans="1:22" s="3" customFormat="1" ht="25.4" hidden="1" customHeight="1">
      <c r="A81" s="3" t="s">
        <v>852</v>
      </c>
      <c r="B81" s="3" t="s">
        <v>58</v>
      </c>
      <c r="D81" s="26" t="s">
        <v>853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41">
        <f t="shared" si="5"/>
        <v>0</v>
      </c>
      <c r="R81" s="61">
        <v>0</v>
      </c>
      <c r="S81" s="39">
        <f>Q81/Summary!$Q$16</f>
        <v>0</v>
      </c>
      <c r="T81" s="39"/>
      <c r="U81" s="35"/>
      <c r="V81" s="40">
        <f t="shared" si="3"/>
        <v>0</v>
      </c>
    </row>
    <row r="82" spans="1:22" s="3" customFormat="1" ht="25.4" hidden="1" customHeight="1">
      <c r="A82" s="3" t="s">
        <v>854</v>
      </c>
      <c r="B82" s="3" t="s">
        <v>58</v>
      </c>
      <c r="D82" s="26" t="s">
        <v>855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41">
        <f t="shared" si="5"/>
        <v>0</v>
      </c>
      <c r="R82" s="61">
        <v>0</v>
      </c>
      <c r="S82" s="39">
        <f>Q82/Summary!$Q$16</f>
        <v>0</v>
      </c>
      <c r="T82" s="39"/>
      <c r="U82" s="35"/>
      <c r="V82" s="40">
        <f t="shared" si="3"/>
        <v>0</v>
      </c>
    </row>
    <row r="83" spans="1:22" s="3" customFormat="1" ht="25.4" hidden="1" customHeight="1">
      <c r="A83" s="3" t="s">
        <v>856</v>
      </c>
      <c r="B83" s="3" t="s">
        <v>58</v>
      </c>
      <c r="D83" s="26" t="s">
        <v>857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41">
        <f t="shared" si="5"/>
        <v>0</v>
      </c>
      <c r="R83" s="61">
        <v>0</v>
      </c>
      <c r="S83" s="39">
        <f>Q83/Summary!$Q$16</f>
        <v>0</v>
      </c>
      <c r="T83" s="39"/>
      <c r="U83" s="35"/>
      <c r="V83" s="40">
        <f t="shared" si="3"/>
        <v>0</v>
      </c>
    </row>
    <row r="84" spans="1:22" s="3" customFormat="1" ht="25.4" hidden="1" customHeight="1">
      <c r="A84" s="3" t="s">
        <v>858</v>
      </c>
      <c r="B84" s="3" t="s">
        <v>58</v>
      </c>
      <c r="D84" s="26" t="s">
        <v>859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41">
        <f t="shared" si="5"/>
        <v>0</v>
      </c>
      <c r="R84" s="61">
        <v>0</v>
      </c>
      <c r="S84" s="39">
        <f>Q84/Summary!$Q$16</f>
        <v>0</v>
      </c>
      <c r="T84" s="39"/>
      <c r="U84" s="35"/>
      <c r="V84" s="40">
        <f t="shared" si="3"/>
        <v>0</v>
      </c>
    </row>
    <row r="85" spans="1:22" s="3" customFormat="1" ht="25.4" hidden="1" customHeight="1">
      <c r="A85" s="3" t="s">
        <v>860</v>
      </c>
      <c r="B85" s="3" t="s">
        <v>58</v>
      </c>
      <c r="D85" s="26" t="s">
        <v>861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41">
        <f t="shared" si="5"/>
        <v>0</v>
      </c>
      <c r="R85" s="61">
        <v>0</v>
      </c>
      <c r="S85" s="39">
        <f>Q85/Summary!$Q$16</f>
        <v>0</v>
      </c>
      <c r="T85" s="39"/>
      <c r="U85" s="35"/>
      <c r="V85" s="40">
        <f t="shared" si="3"/>
        <v>0</v>
      </c>
    </row>
    <row r="86" spans="1:22" s="3" customFormat="1" ht="25.4" hidden="1" customHeight="1">
      <c r="A86" s="3" t="s">
        <v>862</v>
      </c>
      <c r="B86" s="3" t="s">
        <v>58</v>
      </c>
      <c r="D86" s="26" t="s">
        <v>863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41">
        <f t="shared" si="5"/>
        <v>0</v>
      </c>
      <c r="R86" s="61">
        <v>0</v>
      </c>
      <c r="S86" s="39">
        <f>Q86/Summary!$Q$16</f>
        <v>0</v>
      </c>
      <c r="T86" s="39"/>
      <c r="U86" s="35"/>
      <c r="V86" s="40">
        <f t="shared" si="3"/>
        <v>0</v>
      </c>
    </row>
    <row r="87" spans="1:22" s="3" customFormat="1" ht="25.4" hidden="1" customHeight="1">
      <c r="A87" s="3" t="s">
        <v>864</v>
      </c>
      <c r="B87" s="3" t="s">
        <v>58</v>
      </c>
      <c r="D87" s="26" t="s">
        <v>865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41">
        <f t="shared" si="5"/>
        <v>0</v>
      </c>
      <c r="R87" s="61">
        <v>0</v>
      </c>
      <c r="S87" s="39">
        <f>Q87/Summary!$Q$16</f>
        <v>0</v>
      </c>
      <c r="T87" s="39"/>
      <c r="U87" s="35"/>
      <c r="V87" s="40">
        <f t="shared" si="3"/>
        <v>0</v>
      </c>
    </row>
    <row r="88" spans="1:22" s="3" customFormat="1" ht="25.4" hidden="1" customHeight="1">
      <c r="A88" s="3" t="s">
        <v>270</v>
      </c>
      <c r="B88" s="3" t="s">
        <v>58</v>
      </c>
      <c r="D88" s="26" t="s">
        <v>271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41">
        <f t="shared" si="5"/>
        <v>0</v>
      </c>
      <c r="R88" s="61">
        <v>0</v>
      </c>
      <c r="S88" s="39">
        <f>Q88/Summary!$Q$16</f>
        <v>0</v>
      </c>
      <c r="T88" s="39"/>
      <c r="U88" s="35"/>
      <c r="V88" s="40">
        <f t="shared" si="3"/>
        <v>0</v>
      </c>
    </row>
    <row r="89" spans="1:22" s="3" customFormat="1" ht="25.4" hidden="1" customHeight="1">
      <c r="A89" s="3" t="s">
        <v>866</v>
      </c>
      <c r="B89" s="3" t="s">
        <v>58</v>
      </c>
      <c r="D89" s="26" t="s">
        <v>867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41">
        <f t="shared" si="5"/>
        <v>0</v>
      </c>
      <c r="R89" s="61">
        <v>0</v>
      </c>
      <c r="S89" s="39">
        <f>Q89/Summary!$Q$16</f>
        <v>0</v>
      </c>
      <c r="T89" s="39"/>
      <c r="U89" s="35"/>
      <c r="V89" s="40">
        <f t="shared" ref="V89:V152" si="6">-IF(Q89-U89=0,0,(Q89-U89)/U89)</f>
        <v>0</v>
      </c>
    </row>
    <row r="90" spans="1:22" s="3" customFormat="1" ht="25.4" hidden="1" customHeight="1">
      <c r="A90" s="3" t="s">
        <v>272</v>
      </c>
      <c r="B90" s="3" t="s">
        <v>58</v>
      </c>
      <c r="D90" s="26" t="s">
        <v>273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41">
        <f t="shared" si="5"/>
        <v>0</v>
      </c>
      <c r="R90" s="61">
        <v>0</v>
      </c>
      <c r="S90" s="39">
        <f>Q90/Summary!$Q$16</f>
        <v>0</v>
      </c>
      <c r="T90" s="39"/>
      <c r="U90" s="35"/>
      <c r="V90" s="40">
        <f t="shared" si="6"/>
        <v>0</v>
      </c>
    </row>
    <row r="91" spans="1:22" s="3" customFormat="1" ht="25.4" hidden="1" customHeight="1">
      <c r="A91" s="3" t="s">
        <v>868</v>
      </c>
      <c r="B91" s="3" t="s">
        <v>58</v>
      </c>
      <c r="D91" s="26" t="s">
        <v>869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41">
        <f t="shared" si="5"/>
        <v>0</v>
      </c>
      <c r="R91" s="61">
        <v>0</v>
      </c>
      <c r="S91" s="39">
        <f>Q91/Summary!$Q$16</f>
        <v>0</v>
      </c>
      <c r="T91" s="39"/>
      <c r="U91" s="35"/>
      <c r="V91" s="40">
        <f t="shared" si="6"/>
        <v>0</v>
      </c>
    </row>
    <row r="92" spans="1:22" s="3" customFormat="1" ht="25.4" hidden="1" customHeight="1">
      <c r="A92" s="3" t="s">
        <v>870</v>
      </c>
      <c r="B92" s="3" t="s">
        <v>58</v>
      </c>
      <c r="D92" s="26" t="s">
        <v>871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41">
        <f t="shared" si="5"/>
        <v>0</v>
      </c>
      <c r="R92" s="61">
        <v>0</v>
      </c>
      <c r="S92" s="39">
        <f>Q92/Summary!$Q$16</f>
        <v>0</v>
      </c>
      <c r="T92" s="39"/>
      <c r="U92" s="35"/>
      <c r="V92" s="40">
        <f t="shared" si="6"/>
        <v>0</v>
      </c>
    </row>
    <row r="93" spans="1:22" s="3" customFormat="1" ht="25.4" hidden="1" customHeight="1">
      <c r="A93" s="3" t="s">
        <v>872</v>
      </c>
      <c r="B93" s="3" t="s">
        <v>58</v>
      </c>
      <c r="D93" s="26" t="s">
        <v>873</v>
      </c>
      <c r="E93" s="26">
        <v>250</v>
      </c>
      <c r="F93" s="26">
        <v>250</v>
      </c>
      <c r="G93" s="26">
        <v>250</v>
      </c>
      <c r="H93" s="26">
        <v>250</v>
      </c>
      <c r="I93" s="26">
        <v>250</v>
      </c>
      <c r="J93" s="26">
        <v>250</v>
      </c>
      <c r="K93" s="26">
        <v>250</v>
      </c>
      <c r="L93" s="26">
        <v>250</v>
      </c>
      <c r="M93" s="26">
        <v>250</v>
      </c>
      <c r="N93" s="26">
        <v>250</v>
      </c>
      <c r="O93" s="26">
        <v>250</v>
      </c>
      <c r="P93" s="26">
        <v>250</v>
      </c>
      <c r="Q93" s="41">
        <f t="shared" si="5"/>
        <v>3000</v>
      </c>
      <c r="R93" s="61">
        <v>0</v>
      </c>
      <c r="S93" s="39">
        <f>Q93/Summary!$Q$16</f>
        <v>3.7664671450166982E-5</v>
      </c>
      <c r="T93" s="39"/>
      <c r="U93" s="35"/>
      <c r="V93" s="40" t="e">
        <f t="shared" si="6"/>
        <v>#DIV/0!</v>
      </c>
    </row>
    <row r="94" spans="1:22" s="3" customFormat="1" ht="25.4" hidden="1" customHeight="1">
      <c r="A94" s="3" t="s">
        <v>874</v>
      </c>
      <c r="B94" s="3" t="s">
        <v>58</v>
      </c>
      <c r="D94" s="26" t="s">
        <v>875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41">
        <f t="shared" si="5"/>
        <v>0</v>
      </c>
      <c r="R94" s="61">
        <v>0</v>
      </c>
      <c r="S94" s="39">
        <f>Q94/Summary!$Q$16</f>
        <v>0</v>
      </c>
      <c r="T94" s="39"/>
      <c r="U94" s="35"/>
      <c r="V94" s="40">
        <f t="shared" si="6"/>
        <v>0</v>
      </c>
    </row>
    <row r="95" spans="1:22" s="3" customFormat="1" ht="25.4" hidden="1" customHeight="1">
      <c r="A95" s="3" t="s">
        <v>876</v>
      </c>
      <c r="B95" s="3" t="s">
        <v>58</v>
      </c>
      <c r="D95" s="26" t="s">
        <v>877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41">
        <f t="shared" si="5"/>
        <v>0</v>
      </c>
      <c r="R95" s="61">
        <v>0</v>
      </c>
      <c r="S95" s="39">
        <f>Q95/Summary!$Q$16</f>
        <v>0</v>
      </c>
      <c r="T95" s="39"/>
      <c r="U95" s="35"/>
      <c r="V95" s="40">
        <f t="shared" si="6"/>
        <v>0</v>
      </c>
    </row>
    <row r="96" spans="1:22" s="3" customFormat="1" ht="25.4" hidden="1" customHeight="1">
      <c r="A96" s="3" t="s">
        <v>878</v>
      </c>
      <c r="B96" s="3" t="s">
        <v>58</v>
      </c>
      <c r="D96" s="26" t="s">
        <v>879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41">
        <f t="shared" si="5"/>
        <v>0</v>
      </c>
      <c r="R96" s="61">
        <v>0</v>
      </c>
      <c r="S96" s="39">
        <f>Q96/Summary!$Q$16</f>
        <v>0</v>
      </c>
      <c r="T96" s="39"/>
      <c r="U96" s="35"/>
      <c r="V96" s="40">
        <f t="shared" si="6"/>
        <v>0</v>
      </c>
    </row>
    <row r="97" spans="1:22" s="3" customFormat="1" ht="25.4" hidden="1" customHeight="1">
      <c r="A97" s="3" t="s">
        <v>880</v>
      </c>
      <c r="B97" s="3" t="s">
        <v>58</v>
      </c>
      <c r="D97" s="26" t="s">
        <v>881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41">
        <f t="shared" si="5"/>
        <v>0</v>
      </c>
      <c r="R97" s="61">
        <v>0</v>
      </c>
      <c r="S97" s="39">
        <f>Q97/Summary!$Q$16</f>
        <v>0</v>
      </c>
      <c r="T97" s="39"/>
      <c r="U97" s="35"/>
      <c r="V97" s="40">
        <f t="shared" si="6"/>
        <v>0</v>
      </c>
    </row>
    <row r="98" spans="1:22" s="3" customFormat="1" ht="25.4" hidden="1" customHeight="1">
      <c r="A98" s="3" t="s">
        <v>882</v>
      </c>
      <c r="B98" s="3" t="s">
        <v>58</v>
      </c>
      <c r="D98" s="26" t="s">
        <v>883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41">
        <f t="shared" si="5"/>
        <v>0</v>
      </c>
      <c r="R98" s="61">
        <v>0</v>
      </c>
      <c r="S98" s="39">
        <f>Q98/Summary!$Q$16</f>
        <v>0</v>
      </c>
      <c r="T98" s="39"/>
      <c r="U98" s="35"/>
      <c r="V98" s="40">
        <f t="shared" si="6"/>
        <v>0</v>
      </c>
    </row>
    <row r="99" spans="1:22" s="3" customFormat="1" ht="25.4" hidden="1" customHeight="1">
      <c r="A99" s="3" t="s">
        <v>884</v>
      </c>
      <c r="B99" s="3" t="s">
        <v>58</v>
      </c>
      <c r="D99" s="26" t="s">
        <v>885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41">
        <f t="shared" si="5"/>
        <v>0</v>
      </c>
      <c r="R99" s="61">
        <v>0</v>
      </c>
      <c r="S99" s="39">
        <f>Q99/Summary!$Q$16</f>
        <v>0</v>
      </c>
      <c r="T99" s="39"/>
      <c r="U99" s="35"/>
      <c r="V99" s="40">
        <f t="shared" si="6"/>
        <v>0</v>
      </c>
    </row>
    <row r="100" spans="1:22" s="3" customFormat="1" ht="25.4" hidden="1" customHeight="1">
      <c r="A100" s="3" t="s">
        <v>886</v>
      </c>
      <c r="B100" s="3" t="s">
        <v>58</v>
      </c>
      <c r="D100" s="26" t="s">
        <v>887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41">
        <f t="shared" si="5"/>
        <v>0</v>
      </c>
      <c r="R100" s="61">
        <v>0</v>
      </c>
      <c r="S100" s="39">
        <f>Q100/Summary!$Q$16</f>
        <v>0</v>
      </c>
      <c r="T100" s="39"/>
      <c r="U100" s="35"/>
      <c r="V100" s="40">
        <f t="shared" si="6"/>
        <v>0</v>
      </c>
    </row>
    <row r="101" spans="1:22" s="3" customFormat="1" ht="25.4" hidden="1" customHeight="1">
      <c r="A101" s="3" t="s">
        <v>888</v>
      </c>
      <c r="B101" s="3" t="s">
        <v>58</v>
      </c>
      <c r="D101" s="26" t="s">
        <v>889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41">
        <f t="shared" si="5"/>
        <v>0</v>
      </c>
      <c r="R101" s="61">
        <v>0</v>
      </c>
      <c r="S101" s="39">
        <f>Q101/Summary!$Q$16</f>
        <v>0</v>
      </c>
      <c r="T101" s="39"/>
      <c r="U101" s="35"/>
      <c r="V101" s="40">
        <f t="shared" si="6"/>
        <v>0</v>
      </c>
    </row>
    <row r="102" spans="1:22" s="3" customFormat="1" ht="25.4" customHeight="1">
      <c r="A102" s="3" t="s">
        <v>890</v>
      </c>
      <c r="B102" s="3" t="s">
        <v>58</v>
      </c>
      <c r="D102" s="26" t="s">
        <v>891</v>
      </c>
      <c r="E102" s="26">
        <v>200</v>
      </c>
      <c r="F102" s="26">
        <v>200</v>
      </c>
      <c r="G102" s="26">
        <v>200</v>
      </c>
      <c r="H102" s="26">
        <v>200</v>
      </c>
      <c r="I102" s="26">
        <v>200</v>
      </c>
      <c r="J102" s="26">
        <v>200</v>
      </c>
      <c r="K102" s="26">
        <v>200</v>
      </c>
      <c r="L102" s="26">
        <v>200</v>
      </c>
      <c r="M102" s="26">
        <v>200</v>
      </c>
      <c r="N102" s="26">
        <v>200</v>
      </c>
      <c r="O102" s="26">
        <v>200</v>
      </c>
      <c r="P102" s="26">
        <v>200</v>
      </c>
      <c r="Q102" s="41">
        <f t="shared" si="5"/>
        <v>2400</v>
      </c>
      <c r="R102" s="61">
        <v>114064.83</v>
      </c>
      <c r="S102" s="39">
        <f>Q102/Summary!$Q$16</f>
        <v>3.0131737160133587E-5</v>
      </c>
      <c r="T102" s="39"/>
      <c r="U102" s="35"/>
      <c r="V102" s="40" t="e">
        <f t="shared" si="6"/>
        <v>#DIV/0!</v>
      </c>
    </row>
    <row r="103" spans="1:22" s="3" customFormat="1" ht="25.4" hidden="1" customHeight="1">
      <c r="A103" s="3" t="s">
        <v>892</v>
      </c>
      <c r="B103" s="3" t="s">
        <v>58</v>
      </c>
      <c r="D103" s="26" t="s">
        <v>893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41">
        <f t="shared" si="5"/>
        <v>0</v>
      </c>
      <c r="R103" s="61">
        <v>0</v>
      </c>
      <c r="S103" s="39">
        <f>Q103/Summary!$Q$16</f>
        <v>0</v>
      </c>
      <c r="T103" s="39"/>
      <c r="U103" s="35"/>
      <c r="V103" s="40">
        <f t="shared" si="6"/>
        <v>0</v>
      </c>
    </row>
    <row r="104" spans="1:22" s="3" customFormat="1" ht="25.4" customHeight="1">
      <c r="A104" s="3" t="s">
        <v>894</v>
      </c>
      <c r="B104" s="3" t="s">
        <v>58</v>
      </c>
      <c r="D104" s="26" t="s">
        <v>895</v>
      </c>
      <c r="E104" s="26">
        <v>500</v>
      </c>
      <c r="F104" s="26">
        <v>500</v>
      </c>
      <c r="G104" s="26">
        <v>500</v>
      </c>
      <c r="H104" s="26">
        <v>500</v>
      </c>
      <c r="I104" s="26">
        <v>500</v>
      </c>
      <c r="J104" s="26">
        <v>500</v>
      </c>
      <c r="K104" s="26">
        <v>500</v>
      </c>
      <c r="L104" s="26">
        <v>500</v>
      </c>
      <c r="M104" s="26">
        <v>500</v>
      </c>
      <c r="N104" s="26">
        <v>500</v>
      </c>
      <c r="O104" s="26">
        <v>500</v>
      </c>
      <c r="P104" s="26">
        <v>500</v>
      </c>
      <c r="Q104" s="41">
        <f t="shared" si="5"/>
        <v>6000</v>
      </c>
      <c r="R104" s="61">
        <v>10755.83</v>
      </c>
      <c r="S104" s="39">
        <f>Q104/Summary!$Q$16</f>
        <v>7.5329342900333965E-5</v>
      </c>
      <c r="T104" s="39"/>
      <c r="U104" s="35"/>
      <c r="V104" s="40" t="e">
        <f t="shared" si="6"/>
        <v>#DIV/0!</v>
      </c>
    </row>
    <row r="105" spans="1:22" s="3" customFormat="1" ht="25.4" customHeight="1">
      <c r="A105" s="3" t="s">
        <v>896</v>
      </c>
      <c r="B105" s="3" t="s">
        <v>58</v>
      </c>
      <c r="D105" s="26" t="s">
        <v>897</v>
      </c>
      <c r="E105" s="26">
        <v>500</v>
      </c>
      <c r="F105" s="26">
        <v>500</v>
      </c>
      <c r="G105" s="26">
        <v>500</v>
      </c>
      <c r="H105" s="26">
        <v>500</v>
      </c>
      <c r="I105" s="26">
        <v>500</v>
      </c>
      <c r="J105" s="26">
        <v>500</v>
      </c>
      <c r="K105" s="26">
        <v>500</v>
      </c>
      <c r="L105" s="26">
        <v>500</v>
      </c>
      <c r="M105" s="26">
        <v>500</v>
      </c>
      <c r="N105" s="26">
        <v>500</v>
      </c>
      <c r="O105" s="26">
        <v>500</v>
      </c>
      <c r="P105" s="26">
        <v>500</v>
      </c>
      <c r="Q105" s="41">
        <f t="shared" si="5"/>
        <v>6000</v>
      </c>
      <c r="R105" s="61">
        <v>44237.15</v>
      </c>
      <c r="S105" s="39">
        <f>Q105/Summary!$Q$16</f>
        <v>7.5329342900333965E-5</v>
      </c>
      <c r="T105" s="39"/>
      <c r="U105" s="35"/>
      <c r="V105" s="40" t="e">
        <f t="shared" si="6"/>
        <v>#DIV/0!</v>
      </c>
    </row>
    <row r="106" spans="1:22" s="3" customFormat="1" ht="25.4" customHeight="1">
      <c r="A106" s="3" t="s">
        <v>898</v>
      </c>
      <c r="B106" s="3" t="s">
        <v>58</v>
      </c>
      <c r="D106" s="26" t="s">
        <v>899</v>
      </c>
      <c r="E106" s="26">
        <v>1000</v>
      </c>
      <c r="F106" s="26">
        <v>1000</v>
      </c>
      <c r="G106" s="26">
        <v>1000</v>
      </c>
      <c r="H106" s="26">
        <v>1000</v>
      </c>
      <c r="I106" s="26">
        <v>1000</v>
      </c>
      <c r="J106" s="26">
        <v>1000</v>
      </c>
      <c r="K106" s="26">
        <v>1000</v>
      </c>
      <c r="L106" s="26">
        <v>1000</v>
      </c>
      <c r="M106" s="26">
        <v>1000</v>
      </c>
      <c r="N106" s="26">
        <v>1000</v>
      </c>
      <c r="O106" s="26">
        <v>1000</v>
      </c>
      <c r="P106" s="26">
        <v>1000</v>
      </c>
      <c r="Q106" s="41">
        <f t="shared" si="5"/>
        <v>12000</v>
      </c>
      <c r="R106" s="61">
        <v>0</v>
      </c>
      <c r="S106" s="39">
        <f>Q106/Summary!$Q$16</f>
        <v>1.5065868580066793E-4</v>
      </c>
      <c r="T106" s="39"/>
      <c r="U106" s="35"/>
      <c r="V106" s="40" t="e">
        <f t="shared" si="6"/>
        <v>#DIV/0!</v>
      </c>
    </row>
    <row r="107" spans="1:22" s="3" customFormat="1" ht="25.4" customHeight="1">
      <c r="A107" s="3" t="s">
        <v>900</v>
      </c>
      <c r="B107" s="3" t="s">
        <v>58</v>
      </c>
      <c r="D107" s="26" t="s">
        <v>901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41">
        <f t="shared" si="5"/>
        <v>0</v>
      </c>
      <c r="R107" s="61">
        <v>0</v>
      </c>
      <c r="S107" s="39">
        <f>Q107/Summary!$Q$16</f>
        <v>0</v>
      </c>
      <c r="T107" s="39"/>
      <c r="U107" s="35"/>
      <c r="V107" s="40">
        <f t="shared" si="6"/>
        <v>0</v>
      </c>
    </row>
    <row r="108" spans="1:22" s="3" customFormat="1" ht="25.4" customHeight="1">
      <c r="A108" s="3" t="s">
        <v>902</v>
      </c>
      <c r="B108" s="3" t="s">
        <v>58</v>
      </c>
      <c r="D108" s="26" t="s">
        <v>903</v>
      </c>
      <c r="E108" s="26">
        <v>200</v>
      </c>
      <c r="F108" s="26">
        <v>200</v>
      </c>
      <c r="G108" s="26">
        <v>200</v>
      </c>
      <c r="H108" s="26">
        <v>200</v>
      </c>
      <c r="I108" s="26">
        <v>200</v>
      </c>
      <c r="J108" s="26">
        <v>200</v>
      </c>
      <c r="K108" s="26">
        <v>200</v>
      </c>
      <c r="L108" s="26">
        <v>200</v>
      </c>
      <c r="M108" s="26">
        <v>200</v>
      </c>
      <c r="N108" s="26">
        <v>200</v>
      </c>
      <c r="O108" s="26">
        <v>200</v>
      </c>
      <c r="P108" s="26">
        <v>200</v>
      </c>
      <c r="Q108" s="41">
        <f t="shared" si="5"/>
        <v>2400</v>
      </c>
      <c r="R108" s="61">
        <v>0</v>
      </c>
      <c r="S108" s="39">
        <f>Q108/Summary!$Q$16</f>
        <v>3.0131737160133587E-5</v>
      </c>
      <c r="T108" s="39"/>
      <c r="U108" s="35"/>
      <c r="V108" s="40" t="e">
        <f t="shared" si="6"/>
        <v>#DIV/0!</v>
      </c>
    </row>
    <row r="109" spans="1:22" s="3" customFormat="1" ht="25.4" customHeight="1">
      <c r="A109" s="3" t="s">
        <v>904</v>
      </c>
      <c r="B109" s="3" t="s">
        <v>58</v>
      </c>
      <c r="D109" s="26" t="s">
        <v>905</v>
      </c>
      <c r="E109" s="26">
        <v>200</v>
      </c>
      <c r="F109" s="26">
        <v>200</v>
      </c>
      <c r="G109" s="26">
        <v>200</v>
      </c>
      <c r="H109" s="26">
        <v>200</v>
      </c>
      <c r="I109" s="26">
        <v>200</v>
      </c>
      <c r="J109" s="26">
        <v>200</v>
      </c>
      <c r="K109" s="26">
        <v>200</v>
      </c>
      <c r="L109" s="26">
        <v>200</v>
      </c>
      <c r="M109" s="26">
        <v>200</v>
      </c>
      <c r="N109" s="26">
        <v>200</v>
      </c>
      <c r="O109" s="26">
        <v>200</v>
      </c>
      <c r="P109" s="26">
        <v>200</v>
      </c>
      <c r="Q109" s="41">
        <f t="shared" si="5"/>
        <v>2400</v>
      </c>
      <c r="R109" s="61">
        <v>0</v>
      </c>
      <c r="S109" s="39">
        <f>Q109/Summary!$Q$16</f>
        <v>3.0131737160133587E-5</v>
      </c>
      <c r="T109" s="39"/>
      <c r="U109" s="35"/>
      <c r="V109" s="40" t="e">
        <f t="shared" si="6"/>
        <v>#DIV/0!</v>
      </c>
    </row>
    <row r="110" spans="1:22" s="3" customFormat="1" ht="25.4" customHeight="1">
      <c r="A110" s="3" t="s">
        <v>906</v>
      </c>
      <c r="B110" s="3" t="s">
        <v>58</v>
      </c>
      <c r="D110" s="26" t="s">
        <v>907</v>
      </c>
      <c r="E110" s="26">
        <v>300</v>
      </c>
      <c r="F110" s="26">
        <v>300</v>
      </c>
      <c r="G110" s="26">
        <v>300</v>
      </c>
      <c r="H110" s="26">
        <v>300</v>
      </c>
      <c r="I110" s="26">
        <v>300</v>
      </c>
      <c r="J110" s="26">
        <v>300</v>
      </c>
      <c r="K110" s="26">
        <v>300</v>
      </c>
      <c r="L110" s="26">
        <v>300</v>
      </c>
      <c r="M110" s="26">
        <v>300</v>
      </c>
      <c r="N110" s="26">
        <v>300</v>
      </c>
      <c r="O110" s="26">
        <v>300</v>
      </c>
      <c r="P110" s="26">
        <v>300</v>
      </c>
      <c r="Q110" s="41">
        <f t="shared" si="5"/>
        <v>3600</v>
      </c>
      <c r="R110" s="61">
        <v>56356.68</v>
      </c>
      <c r="S110" s="39">
        <f>Q110/Summary!$Q$16</f>
        <v>4.5197605740200377E-5</v>
      </c>
      <c r="T110" s="39"/>
      <c r="U110" s="35"/>
      <c r="V110" s="40" t="e">
        <f t="shared" si="6"/>
        <v>#DIV/0!</v>
      </c>
    </row>
    <row r="111" spans="1:22" s="3" customFormat="1" ht="25.4" customHeight="1">
      <c r="A111" s="3" t="s">
        <v>908</v>
      </c>
      <c r="B111" s="3" t="s">
        <v>58</v>
      </c>
      <c r="D111" s="26" t="s">
        <v>909</v>
      </c>
      <c r="E111" s="26">
        <v>500</v>
      </c>
      <c r="F111" s="26">
        <v>500</v>
      </c>
      <c r="G111" s="26">
        <v>500</v>
      </c>
      <c r="H111" s="26">
        <v>500</v>
      </c>
      <c r="I111" s="26">
        <v>500</v>
      </c>
      <c r="J111" s="26">
        <v>500</v>
      </c>
      <c r="K111" s="26">
        <v>500</v>
      </c>
      <c r="L111" s="26">
        <v>500</v>
      </c>
      <c r="M111" s="26">
        <v>500</v>
      </c>
      <c r="N111" s="26">
        <v>500</v>
      </c>
      <c r="O111" s="26">
        <v>500</v>
      </c>
      <c r="P111" s="26">
        <v>500</v>
      </c>
      <c r="Q111" s="41">
        <f t="shared" si="5"/>
        <v>6000</v>
      </c>
      <c r="R111" s="61">
        <v>369.23</v>
      </c>
      <c r="S111" s="39">
        <f>Q111/Summary!$Q$16</f>
        <v>7.5329342900333965E-5</v>
      </c>
      <c r="T111" s="39"/>
      <c r="U111" s="35"/>
      <c r="V111" s="40" t="e">
        <f t="shared" si="6"/>
        <v>#DIV/0!</v>
      </c>
    </row>
    <row r="112" spans="1:22" s="3" customFormat="1" ht="25.4" customHeight="1">
      <c r="A112" s="3" t="s">
        <v>910</v>
      </c>
      <c r="B112" s="3" t="s">
        <v>58</v>
      </c>
      <c r="D112" s="26" t="s">
        <v>911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41">
        <f t="shared" si="5"/>
        <v>0</v>
      </c>
      <c r="R112" s="61">
        <v>0</v>
      </c>
      <c r="S112" s="39">
        <f>Q112/Summary!$Q$16</f>
        <v>0</v>
      </c>
      <c r="T112" s="39"/>
      <c r="U112" s="35"/>
      <c r="V112" s="40">
        <f t="shared" si="6"/>
        <v>0</v>
      </c>
    </row>
    <row r="113" spans="1:22" s="3" customFormat="1" ht="25.4" customHeight="1">
      <c r="A113" s="3" t="s">
        <v>912</v>
      </c>
      <c r="B113" s="3" t="s">
        <v>58</v>
      </c>
      <c r="D113" s="26" t="s">
        <v>913</v>
      </c>
      <c r="E113" s="26">
        <v>200</v>
      </c>
      <c r="F113" s="26">
        <v>200</v>
      </c>
      <c r="G113" s="26">
        <v>200</v>
      </c>
      <c r="H113" s="26">
        <v>200</v>
      </c>
      <c r="I113" s="26">
        <v>200</v>
      </c>
      <c r="J113" s="26">
        <v>200</v>
      </c>
      <c r="K113" s="26">
        <v>200</v>
      </c>
      <c r="L113" s="26">
        <v>200</v>
      </c>
      <c r="M113" s="26">
        <v>200</v>
      </c>
      <c r="N113" s="26">
        <v>200</v>
      </c>
      <c r="O113" s="26">
        <v>200</v>
      </c>
      <c r="P113" s="26">
        <v>200</v>
      </c>
      <c r="Q113" s="41">
        <f t="shared" si="5"/>
        <v>2400</v>
      </c>
      <c r="R113" s="61">
        <v>0</v>
      </c>
      <c r="S113" s="39">
        <f>Q113/Summary!$Q$16</f>
        <v>3.0131737160133587E-5</v>
      </c>
      <c r="T113" s="39"/>
      <c r="U113" s="35"/>
      <c r="V113" s="40" t="e">
        <f t="shared" si="6"/>
        <v>#DIV/0!</v>
      </c>
    </row>
    <row r="114" spans="1:22" s="3" customFormat="1" ht="25.4" customHeight="1">
      <c r="A114" s="3" t="s">
        <v>914</v>
      </c>
      <c r="B114" s="3" t="s">
        <v>58</v>
      </c>
      <c r="D114" s="26" t="s">
        <v>915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41">
        <f t="shared" si="5"/>
        <v>0</v>
      </c>
      <c r="R114" s="61">
        <v>0</v>
      </c>
      <c r="S114" s="39">
        <f>Q114/Summary!$Q$16</f>
        <v>0</v>
      </c>
      <c r="T114" s="39"/>
      <c r="U114" s="35"/>
      <c r="V114" s="40">
        <f t="shared" si="6"/>
        <v>0</v>
      </c>
    </row>
    <row r="115" spans="1:22" s="3" customFormat="1" ht="24.75" customHeight="1">
      <c r="A115" s="3" t="s">
        <v>916</v>
      </c>
      <c r="B115" s="3" t="s">
        <v>58</v>
      </c>
      <c r="D115" s="26" t="s">
        <v>917</v>
      </c>
      <c r="E115" s="26">
        <v>100</v>
      </c>
      <c r="F115" s="26">
        <v>100</v>
      </c>
      <c r="G115" s="26">
        <v>100</v>
      </c>
      <c r="H115" s="26">
        <v>100</v>
      </c>
      <c r="I115" s="26">
        <v>100</v>
      </c>
      <c r="J115" s="26">
        <v>100</v>
      </c>
      <c r="K115" s="26">
        <v>100</v>
      </c>
      <c r="L115" s="26">
        <v>100</v>
      </c>
      <c r="M115" s="26">
        <v>100</v>
      </c>
      <c r="N115" s="26">
        <v>100</v>
      </c>
      <c r="O115" s="26">
        <v>100</v>
      </c>
      <c r="P115" s="26">
        <v>100</v>
      </c>
      <c r="Q115" s="41">
        <f t="shared" si="5"/>
        <v>1200</v>
      </c>
      <c r="R115" s="61">
        <v>0</v>
      </c>
      <c r="S115" s="39">
        <f>Q115/Summary!$Q$16</f>
        <v>1.5065868580066794E-5</v>
      </c>
      <c r="T115" s="39"/>
      <c r="U115" s="35"/>
      <c r="V115" s="40" t="e">
        <f t="shared" si="6"/>
        <v>#DIV/0!</v>
      </c>
    </row>
    <row r="116" spans="1:22" s="3" customFormat="1" ht="25.4" customHeight="1">
      <c r="A116" s="3" t="s">
        <v>918</v>
      </c>
      <c r="B116" s="3" t="s">
        <v>58</v>
      </c>
      <c r="D116" s="26" t="s">
        <v>919</v>
      </c>
      <c r="E116" s="26">
        <v>200</v>
      </c>
      <c r="F116" s="26">
        <v>200</v>
      </c>
      <c r="G116" s="26">
        <v>200</v>
      </c>
      <c r="H116" s="26">
        <v>200</v>
      </c>
      <c r="I116" s="26">
        <v>200</v>
      </c>
      <c r="J116" s="26">
        <v>200</v>
      </c>
      <c r="K116" s="26">
        <v>200</v>
      </c>
      <c r="L116" s="26">
        <v>200</v>
      </c>
      <c r="M116" s="26">
        <v>200</v>
      </c>
      <c r="N116" s="26">
        <v>200</v>
      </c>
      <c r="O116" s="26">
        <v>200</v>
      </c>
      <c r="P116" s="26">
        <v>200</v>
      </c>
      <c r="Q116" s="41">
        <f t="shared" si="5"/>
        <v>2400</v>
      </c>
      <c r="R116" s="61">
        <v>0</v>
      </c>
      <c r="S116" s="39">
        <f>Q116/Summary!$Q$16</f>
        <v>3.0131737160133587E-5</v>
      </c>
      <c r="T116" s="39"/>
      <c r="U116" s="35"/>
      <c r="V116" s="40" t="e">
        <f t="shared" si="6"/>
        <v>#DIV/0!</v>
      </c>
    </row>
    <row r="117" spans="1:22" s="3" customFormat="1" ht="25.4" customHeight="1">
      <c r="A117" s="3" t="s">
        <v>920</v>
      </c>
      <c r="B117" s="3" t="s">
        <v>58</v>
      </c>
      <c r="D117" s="26" t="s">
        <v>921</v>
      </c>
      <c r="E117" s="26">
        <v>100</v>
      </c>
      <c r="F117" s="26">
        <v>100</v>
      </c>
      <c r="G117" s="26">
        <v>100</v>
      </c>
      <c r="H117" s="26">
        <v>100</v>
      </c>
      <c r="I117" s="26">
        <v>100</v>
      </c>
      <c r="J117" s="26">
        <v>100</v>
      </c>
      <c r="K117" s="26">
        <v>100</v>
      </c>
      <c r="L117" s="26">
        <v>100</v>
      </c>
      <c r="M117" s="26">
        <v>100</v>
      </c>
      <c r="N117" s="26">
        <v>100</v>
      </c>
      <c r="O117" s="26">
        <v>100</v>
      </c>
      <c r="P117" s="26">
        <v>100</v>
      </c>
      <c r="Q117" s="41">
        <f t="shared" si="5"/>
        <v>1200</v>
      </c>
      <c r="R117" s="61">
        <v>0</v>
      </c>
      <c r="S117" s="39">
        <f>Q117/Summary!$Q$16</f>
        <v>1.5065868580066794E-5</v>
      </c>
      <c r="T117" s="39"/>
      <c r="U117" s="35"/>
      <c r="V117" s="40" t="e">
        <f t="shared" si="6"/>
        <v>#DIV/0!</v>
      </c>
    </row>
    <row r="118" spans="1:22" s="3" customFormat="1" ht="25.4" customHeight="1">
      <c r="A118" s="3" t="s">
        <v>922</v>
      </c>
      <c r="B118" s="3" t="s">
        <v>58</v>
      </c>
      <c r="D118" s="26" t="s">
        <v>923</v>
      </c>
      <c r="E118" s="26">
        <v>100</v>
      </c>
      <c r="F118" s="26">
        <v>100</v>
      </c>
      <c r="G118" s="26">
        <v>100</v>
      </c>
      <c r="H118" s="26">
        <v>100</v>
      </c>
      <c r="I118" s="26">
        <v>100</v>
      </c>
      <c r="J118" s="26">
        <v>100</v>
      </c>
      <c r="K118" s="26">
        <v>100</v>
      </c>
      <c r="L118" s="26">
        <v>100</v>
      </c>
      <c r="M118" s="26">
        <v>100</v>
      </c>
      <c r="N118" s="26">
        <v>100</v>
      </c>
      <c r="O118" s="26">
        <v>100</v>
      </c>
      <c r="P118" s="26">
        <v>100</v>
      </c>
      <c r="Q118" s="41">
        <f t="shared" si="5"/>
        <v>1200</v>
      </c>
      <c r="R118" s="61">
        <v>0</v>
      </c>
      <c r="S118" s="39">
        <f>Q118/Summary!$Q$16</f>
        <v>1.5065868580066794E-5</v>
      </c>
      <c r="T118" s="39"/>
      <c r="U118" s="35"/>
      <c r="V118" s="40" t="e">
        <f t="shared" si="6"/>
        <v>#DIV/0!</v>
      </c>
    </row>
    <row r="119" spans="1:22" s="3" customFormat="1" ht="25.4" hidden="1" customHeight="1">
      <c r="A119" s="3" t="s">
        <v>924</v>
      </c>
      <c r="B119" s="3" t="s">
        <v>58</v>
      </c>
      <c r="D119" s="26" t="s">
        <v>925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41">
        <f t="shared" si="5"/>
        <v>0</v>
      </c>
      <c r="R119" s="61">
        <v>0</v>
      </c>
      <c r="S119" s="39">
        <f>Q119/Summary!$Q$16</f>
        <v>0</v>
      </c>
      <c r="T119" s="39"/>
      <c r="U119" s="35"/>
      <c r="V119" s="40">
        <f t="shared" si="6"/>
        <v>0</v>
      </c>
    </row>
    <row r="120" spans="1:22" s="3" customFormat="1" ht="25.4" customHeight="1">
      <c r="A120" s="3" t="s">
        <v>926</v>
      </c>
      <c r="B120" s="3" t="s">
        <v>58</v>
      </c>
      <c r="D120" s="26" t="s">
        <v>927</v>
      </c>
      <c r="E120" s="26">
        <v>200</v>
      </c>
      <c r="F120" s="26">
        <v>200</v>
      </c>
      <c r="G120" s="26">
        <v>200</v>
      </c>
      <c r="H120" s="26">
        <v>200</v>
      </c>
      <c r="I120" s="26">
        <v>200</v>
      </c>
      <c r="J120" s="26">
        <v>200</v>
      </c>
      <c r="K120" s="26">
        <v>200</v>
      </c>
      <c r="L120" s="26">
        <v>200</v>
      </c>
      <c r="M120" s="26">
        <v>200</v>
      </c>
      <c r="N120" s="26">
        <v>200</v>
      </c>
      <c r="O120" s="26">
        <v>200</v>
      </c>
      <c r="P120" s="26">
        <v>200</v>
      </c>
      <c r="Q120" s="41">
        <f t="shared" si="5"/>
        <v>2400</v>
      </c>
      <c r="R120" s="61">
        <v>14794.64</v>
      </c>
      <c r="S120" s="39">
        <f>Q120/Summary!$Q$16</f>
        <v>3.0131737160133587E-5</v>
      </c>
      <c r="T120" s="39"/>
      <c r="U120" s="35"/>
      <c r="V120" s="40" t="e">
        <f t="shared" si="6"/>
        <v>#DIV/0!</v>
      </c>
    </row>
    <row r="121" spans="1:22" s="3" customFormat="1" ht="25.4" customHeight="1">
      <c r="A121" s="3" t="s">
        <v>928</v>
      </c>
      <c r="B121" s="3" t="s">
        <v>58</v>
      </c>
      <c r="D121" s="26" t="s">
        <v>929</v>
      </c>
      <c r="E121" s="26">
        <v>300</v>
      </c>
      <c r="F121" s="26">
        <v>300</v>
      </c>
      <c r="G121" s="26">
        <v>300</v>
      </c>
      <c r="H121" s="26">
        <v>300</v>
      </c>
      <c r="I121" s="26">
        <v>300</v>
      </c>
      <c r="J121" s="26">
        <v>300</v>
      </c>
      <c r="K121" s="26">
        <v>300</v>
      </c>
      <c r="L121" s="26">
        <v>300</v>
      </c>
      <c r="M121" s="26">
        <v>300</v>
      </c>
      <c r="N121" s="26">
        <v>300</v>
      </c>
      <c r="O121" s="26">
        <v>300</v>
      </c>
      <c r="P121" s="26">
        <v>300</v>
      </c>
      <c r="Q121" s="41">
        <f t="shared" si="5"/>
        <v>3600</v>
      </c>
      <c r="R121" s="61">
        <v>36973.879999999997</v>
      </c>
      <c r="S121" s="39">
        <f>Q121/Summary!$Q$16</f>
        <v>4.5197605740200377E-5</v>
      </c>
      <c r="T121" s="39"/>
      <c r="U121" s="35"/>
      <c r="V121" s="40" t="e">
        <f t="shared" si="6"/>
        <v>#DIV/0!</v>
      </c>
    </row>
    <row r="122" spans="1:22" s="3" customFormat="1" ht="25.4" hidden="1" customHeight="1">
      <c r="A122" s="3" t="s">
        <v>930</v>
      </c>
      <c r="B122" s="3" t="s">
        <v>58</v>
      </c>
      <c r="D122" s="26" t="s">
        <v>931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41">
        <f t="shared" si="5"/>
        <v>0</v>
      </c>
      <c r="R122" s="61">
        <v>0</v>
      </c>
      <c r="S122" s="39">
        <f>Q122/Summary!$Q$16</f>
        <v>0</v>
      </c>
      <c r="T122" s="39"/>
      <c r="U122" s="35"/>
      <c r="V122" s="40">
        <f t="shared" si="6"/>
        <v>0</v>
      </c>
    </row>
    <row r="123" spans="1:22" s="3" customFormat="1" ht="24.75" customHeight="1">
      <c r="A123" s="3" t="s">
        <v>932</v>
      </c>
      <c r="B123" s="3" t="s">
        <v>58</v>
      </c>
      <c r="D123" s="26" t="s">
        <v>933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41">
        <f t="shared" si="5"/>
        <v>0</v>
      </c>
      <c r="R123" s="61">
        <v>0</v>
      </c>
      <c r="S123" s="39">
        <f>Q123/Summary!$Q$16</f>
        <v>0</v>
      </c>
      <c r="T123" s="39"/>
      <c r="U123" s="35"/>
      <c r="V123" s="40">
        <f t="shared" si="6"/>
        <v>0</v>
      </c>
    </row>
    <row r="124" spans="1:22" s="3" customFormat="1" ht="25.4" customHeight="1">
      <c r="A124" s="3" t="s">
        <v>934</v>
      </c>
      <c r="B124" s="3" t="s">
        <v>58</v>
      </c>
      <c r="D124" s="26" t="s">
        <v>935</v>
      </c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41">
        <f t="shared" si="5"/>
        <v>0</v>
      </c>
      <c r="R124" s="61">
        <v>0</v>
      </c>
      <c r="S124" s="39">
        <f>Q124/Summary!$Q$16</f>
        <v>0</v>
      </c>
      <c r="T124" s="39"/>
      <c r="U124" s="35"/>
      <c r="V124" s="40">
        <f t="shared" si="6"/>
        <v>0</v>
      </c>
    </row>
    <row r="125" spans="1:22" s="3" customFormat="1" ht="24.75" customHeight="1">
      <c r="A125" s="3" t="s">
        <v>936</v>
      </c>
      <c r="B125" s="3" t="s">
        <v>58</v>
      </c>
      <c r="D125" s="26" t="s">
        <v>937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41">
        <f t="shared" si="5"/>
        <v>0</v>
      </c>
      <c r="R125" s="61">
        <v>0</v>
      </c>
      <c r="S125" s="39">
        <f>Q125/Summary!$Q$16</f>
        <v>0</v>
      </c>
      <c r="T125" s="39"/>
      <c r="U125" s="35"/>
      <c r="V125" s="40">
        <f t="shared" si="6"/>
        <v>0</v>
      </c>
    </row>
    <row r="126" spans="1:22" s="3" customFormat="1" ht="25.4" customHeight="1">
      <c r="A126" s="3" t="s">
        <v>938</v>
      </c>
      <c r="B126" s="3" t="s">
        <v>58</v>
      </c>
      <c r="D126" s="26" t="s">
        <v>939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41">
        <f t="shared" si="5"/>
        <v>0</v>
      </c>
      <c r="R126" s="61">
        <v>0</v>
      </c>
      <c r="S126" s="39">
        <f>Q126/Summary!$Q$16</f>
        <v>0</v>
      </c>
      <c r="T126" s="39"/>
      <c r="U126" s="35"/>
      <c r="V126" s="40">
        <f t="shared" si="6"/>
        <v>0</v>
      </c>
    </row>
    <row r="127" spans="1:22" s="3" customFormat="1" ht="25.4" customHeight="1">
      <c r="A127" s="3" t="s">
        <v>940</v>
      </c>
      <c r="B127" s="3" t="s">
        <v>58</v>
      </c>
      <c r="D127" s="26" t="s">
        <v>941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41">
        <f t="shared" si="5"/>
        <v>0</v>
      </c>
      <c r="R127" s="61">
        <v>0</v>
      </c>
      <c r="S127" s="39">
        <f>Q127/Summary!$Q$16</f>
        <v>0</v>
      </c>
      <c r="T127" s="39"/>
      <c r="U127" s="35"/>
      <c r="V127" s="40">
        <f t="shared" si="6"/>
        <v>0</v>
      </c>
    </row>
    <row r="128" spans="1:22" s="3" customFormat="1" ht="25.4" customHeight="1">
      <c r="A128" s="3" t="s">
        <v>942</v>
      </c>
      <c r="B128" s="3" t="s">
        <v>58</v>
      </c>
      <c r="D128" s="26" t="s">
        <v>943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41">
        <f t="shared" si="5"/>
        <v>0</v>
      </c>
      <c r="R128" s="61">
        <v>0</v>
      </c>
      <c r="S128" s="39">
        <f>Q128/Summary!$Q$16</f>
        <v>0</v>
      </c>
      <c r="T128" s="39"/>
      <c r="U128" s="35"/>
      <c r="V128" s="40">
        <f t="shared" si="6"/>
        <v>0</v>
      </c>
    </row>
    <row r="129" spans="1:22" s="3" customFormat="1" ht="25.4" customHeight="1">
      <c r="A129" s="3" t="s">
        <v>944</v>
      </c>
      <c r="B129" s="3" t="s">
        <v>58</v>
      </c>
      <c r="D129" s="26" t="s">
        <v>945</v>
      </c>
      <c r="E129" s="26">
        <v>200</v>
      </c>
      <c r="F129" s="26">
        <v>200</v>
      </c>
      <c r="G129" s="26">
        <v>200</v>
      </c>
      <c r="H129" s="26">
        <v>200</v>
      </c>
      <c r="I129" s="26">
        <v>200</v>
      </c>
      <c r="J129" s="26">
        <v>200</v>
      </c>
      <c r="K129" s="26">
        <v>200</v>
      </c>
      <c r="L129" s="26">
        <v>200</v>
      </c>
      <c r="M129" s="26">
        <v>200</v>
      </c>
      <c r="N129" s="26">
        <v>200</v>
      </c>
      <c r="O129" s="26">
        <v>200</v>
      </c>
      <c r="P129" s="26">
        <v>200</v>
      </c>
      <c r="Q129" s="41">
        <f t="shared" si="5"/>
        <v>2400</v>
      </c>
      <c r="R129" s="61">
        <v>100618.18</v>
      </c>
      <c r="S129" s="39">
        <f>Q129/Summary!$Q$16</f>
        <v>3.0131737160133587E-5</v>
      </c>
      <c r="T129" s="39"/>
      <c r="U129" s="35"/>
      <c r="V129" s="40" t="e">
        <f t="shared" si="6"/>
        <v>#DIV/0!</v>
      </c>
    </row>
    <row r="130" spans="1:22" s="3" customFormat="1" ht="25.4" customHeight="1">
      <c r="A130" s="3" t="s">
        <v>946</v>
      </c>
      <c r="B130" s="3" t="s">
        <v>58</v>
      </c>
      <c r="D130" s="26" t="s">
        <v>947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41">
        <f t="shared" si="5"/>
        <v>0</v>
      </c>
      <c r="R130" s="61">
        <v>113561.34</v>
      </c>
      <c r="S130" s="39">
        <f>Q130/Summary!$Q$16</f>
        <v>0</v>
      </c>
      <c r="T130" s="39"/>
      <c r="U130" s="35"/>
      <c r="V130" s="40">
        <f t="shared" si="6"/>
        <v>0</v>
      </c>
    </row>
    <row r="131" spans="1:22" s="3" customFormat="1" ht="25.4" customHeight="1">
      <c r="A131" s="3" t="s">
        <v>948</v>
      </c>
      <c r="B131" s="3" t="s">
        <v>58</v>
      </c>
      <c r="D131" s="26" t="s">
        <v>949</v>
      </c>
      <c r="E131" s="26">
        <v>7750</v>
      </c>
      <c r="F131" s="26">
        <v>7750</v>
      </c>
      <c r="G131" s="26">
        <v>7750</v>
      </c>
      <c r="H131" s="26">
        <v>7750</v>
      </c>
      <c r="I131" s="26">
        <v>7750</v>
      </c>
      <c r="J131" s="26">
        <v>7750</v>
      </c>
      <c r="K131" s="26">
        <v>7750</v>
      </c>
      <c r="L131" s="26">
        <v>7750</v>
      </c>
      <c r="M131" s="26">
        <v>7750</v>
      </c>
      <c r="N131" s="26">
        <v>7750</v>
      </c>
      <c r="O131" s="26">
        <v>7750</v>
      </c>
      <c r="P131" s="26">
        <v>7750</v>
      </c>
      <c r="Q131" s="41">
        <f t="shared" si="5"/>
        <v>93000</v>
      </c>
      <c r="R131" s="61">
        <v>38722.21</v>
      </c>
      <c r="S131" s="39">
        <f>Q131/Summary!$Q$16</f>
        <v>1.1676048149551765E-3</v>
      </c>
      <c r="T131" s="39"/>
      <c r="U131" s="35"/>
      <c r="V131" s="40" t="e">
        <f t="shared" si="6"/>
        <v>#DIV/0!</v>
      </c>
    </row>
    <row r="132" spans="1:22" s="3" customFormat="1" ht="24.75" customHeight="1">
      <c r="A132" s="3" t="s">
        <v>1011</v>
      </c>
      <c r="B132" s="3" t="s">
        <v>58</v>
      </c>
      <c r="D132" s="26" t="s">
        <v>1012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41">
        <f t="shared" si="5"/>
        <v>0</v>
      </c>
      <c r="R132" s="61">
        <v>240000</v>
      </c>
      <c r="S132" s="39">
        <f>Q132/Summary!$Q$16</f>
        <v>0</v>
      </c>
      <c r="T132" s="39"/>
      <c r="U132" s="35"/>
      <c r="V132" s="40">
        <f t="shared" si="6"/>
        <v>0</v>
      </c>
    </row>
    <row r="133" spans="1:22" s="3" customFormat="1" ht="25.4" hidden="1" customHeight="1">
      <c r="A133" s="3" t="s">
        <v>950</v>
      </c>
      <c r="B133" s="3" t="s">
        <v>58</v>
      </c>
      <c r="D133" s="26" t="s">
        <v>951</v>
      </c>
      <c r="E133" s="26">
        <v>0</v>
      </c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41">
        <f t="shared" si="5"/>
        <v>0</v>
      </c>
      <c r="R133" s="61">
        <v>0</v>
      </c>
      <c r="S133" s="39">
        <f>Q133/Summary!$Q$16</f>
        <v>0</v>
      </c>
      <c r="T133" s="39"/>
      <c r="U133" s="35"/>
      <c r="V133" s="40">
        <f t="shared" si="6"/>
        <v>0</v>
      </c>
    </row>
    <row r="134" spans="1:22" s="3" customFormat="1" ht="25.4" customHeight="1">
      <c r="A134" s="3" t="s">
        <v>952</v>
      </c>
      <c r="B134" s="3" t="s">
        <v>58</v>
      </c>
      <c r="D134" s="26" t="s">
        <v>953</v>
      </c>
      <c r="E134" s="26">
        <v>0</v>
      </c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41">
        <f t="shared" si="5"/>
        <v>0</v>
      </c>
      <c r="R134" s="61">
        <v>0</v>
      </c>
      <c r="S134" s="39">
        <f>Q134/Summary!$Q$16</f>
        <v>0</v>
      </c>
      <c r="T134" s="39"/>
      <c r="U134" s="35"/>
      <c r="V134" s="40">
        <f t="shared" si="6"/>
        <v>0</v>
      </c>
    </row>
    <row r="135" spans="1:22" s="3" customFormat="1" ht="25.4" customHeight="1">
      <c r="A135" s="3" t="s">
        <v>954</v>
      </c>
      <c r="B135" s="3" t="s">
        <v>58</v>
      </c>
      <c r="D135" s="26" t="s">
        <v>955</v>
      </c>
      <c r="E135" s="26">
        <v>200</v>
      </c>
      <c r="F135" s="26">
        <v>200</v>
      </c>
      <c r="G135" s="26">
        <v>200</v>
      </c>
      <c r="H135" s="26">
        <v>200</v>
      </c>
      <c r="I135" s="26">
        <v>200</v>
      </c>
      <c r="J135" s="26">
        <v>200</v>
      </c>
      <c r="K135" s="26">
        <v>200</v>
      </c>
      <c r="L135" s="26">
        <v>200</v>
      </c>
      <c r="M135" s="26">
        <v>200</v>
      </c>
      <c r="N135" s="26">
        <v>200</v>
      </c>
      <c r="O135" s="26">
        <v>200</v>
      </c>
      <c r="P135" s="26">
        <v>200</v>
      </c>
      <c r="Q135" s="41">
        <f t="shared" si="5"/>
        <v>2400</v>
      </c>
      <c r="R135" s="61">
        <v>0</v>
      </c>
      <c r="S135" s="39">
        <f>Q135/Summary!$Q$16</f>
        <v>3.0131737160133587E-5</v>
      </c>
      <c r="T135" s="39"/>
      <c r="U135" s="35"/>
      <c r="V135" s="40" t="e">
        <f t="shared" si="6"/>
        <v>#DIV/0!</v>
      </c>
    </row>
    <row r="136" spans="1:22" s="3" customFormat="1" ht="25.4" hidden="1" customHeight="1">
      <c r="A136" s="3" t="s">
        <v>956</v>
      </c>
      <c r="B136" s="3" t="s">
        <v>58</v>
      </c>
      <c r="D136" s="26" t="s">
        <v>957</v>
      </c>
      <c r="E136" s="26">
        <v>200</v>
      </c>
      <c r="F136" s="26">
        <v>200</v>
      </c>
      <c r="G136" s="26">
        <v>200</v>
      </c>
      <c r="H136" s="26">
        <v>200</v>
      </c>
      <c r="I136" s="26">
        <v>200</v>
      </c>
      <c r="J136" s="26">
        <v>200</v>
      </c>
      <c r="K136" s="26">
        <v>200</v>
      </c>
      <c r="L136" s="26">
        <v>200</v>
      </c>
      <c r="M136" s="26">
        <v>200</v>
      </c>
      <c r="N136" s="26">
        <v>200</v>
      </c>
      <c r="O136" s="26">
        <v>200</v>
      </c>
      <c r="P136" s="26">
        <v>200</v>
      </c>
      <c r="Q136" s="41">
        <f t="shared" si="5"/>
        <v>2400</v>
      </c>
      <c r="R136" s="61">
        <v>0</v>
      </c>
      <c r="S136" s="39">
        <f>Q136/Summary!$Q$16</f>
        <v>3.0131737160133587E-5</v>
      </c>
      <c r="T136" s="39"/>
      <c r="U136" s="35"/>
      <c r="V136" s="40" t="e">
        <f t="shared" si="6"/>
        <v>#DIV/0!</v>
      </c>
    </row>
    <row r="137" spans="1:22" s="3" customFormat="1" ht="25.4" hidden="1" customHeight="1">
      <c r="A137" s="3" t="s">
        <v>958</v>
      </c>
      <c r="B137" s="3" t="s">
        <v>58</v>
      </c>
      <c r="D137" s="26" t="s">
        <v>959</v>
      </c>
      <c r="E137" s="26">
        <v>0</v>
      </c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41">
        <f t="shared" si="5"/>
        <v>0</v>
      </c>
      <c r="R137" s="61">
        <v>0</v>
      </c>
      <c r="S137" s="39">
        <f>Q137/Summary!$Q$16</f>
        <v>0</v>
      </c>
      <c r="T137" s="39"/>
      <c r="U137" s="35"/>
      <c r="V137" s="40">
        <f t="shared" si="6"/>
        <v>0</v>
      </c>
    </row>
    <row r="138" spans="1:22" s="3" customFormat="1" ht="25.4" hidden="1" customHeight="1">
      <c r="A138" s="3" t="s">
        <v>960</v>
      </c>
      <c r="B138" s="3" t="s">
        <v>58</v>
      </c>
      <c r="D138" s="26" t="s">
        <v>961</v>
      </c>
      <c r="E138" s="26">
        <v>0</v>
      </c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41">
        <f t="shared" si="5"/>
        <v>0</v>
      </c>
      <c r="R138" s="61">
        <v>0</v>
      </c>
      <c r="S138" s="39">
        <f>Q138/Summary!$Q$16</f>
        <v>0</v>
      </c>
      <c r="T138" s="39"/>
      <c r="U138" s="35"/>
      <c r="V138" s="40">
        <f t="shared" si="6"/>
        <v>0</v>
      </c>
    </row>
    <row r="139" spans="1:22" s="3" customFormat="1" ht="25.4" hidden="1" customHeight="1">
      <c r="A139" s="3" t="s">
        <v>962</v>
      </c>
      <c r="B139" s="3" t="s">
        <v>58</v>
      </c>
      <c r="D139" s="26" t="s">
        <v>963</v>
      </c>
      <c r="E139" s="26">
        <v>0</v>
      </c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41">
        <f t="shared" si="5"/>
        <v>0</v>
      </c>
      <c r="R139" s="61">
        <v>0</v>
      </c>
      <c r="S139" s="39">
        <f>Q139/Summary!$Q$16</f>
        <v>0</v>
      </c>
      <c r="T139" s="39"/>
      <c r="U139" s="35"/>
      <c r="V139" s="40">
        <f t="shared" si="6"/>
        <v>0</v>
      </c>
    </row>
    <row r="140" spans="1:22" s="3" customFormat="1" ht="25.4" hidden="1" customHeight="1">
      <c r="A140" s="3" t="s">
        <v>964</v>
      </c>
      <c r="B140" s="3" t="s">
        <v>58</v>
      </c>
      <c r="D140" s="26" t="s">
        <v>965</v>
      </c>
      <c r="E140" s="26">
        <v>0</v>
      </c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41">
        <f t="shared" si="5"/>
        <v>0</v>
      </c>
      <c r="R140" s="61">
        <v>0</v>
      </c>
      <c r="S140" s="39">
        <f>Q140/Summary!$Q$16</f>
        <v>0</v>
      </c>
      <c r="T140" s="39"/>
      <c r="U140" s="35"/>
      <c r="V140" s="40">
        <f t="shared" si="6"/>
        <v>0</v>
      </c>
    </row>
    <row r="141" spans="1:22" s="3" customFormat="1" ht="25.4" hidden="1" customHeight="1">
      <c r="A141" s="3" t="s">
        <v>966</v>
      </c>
      <c r="B141" s="3" t="s">
        <v>58</v>
      </c>
      <c r="D141" s="26" t="s">
        <v>967</v>
      </c>
      <c r="E141" s="26">
        <v>0</v>
      </c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41">
        <f t="shared" si="5"/>
        <v>0</v>
      </c>
      <c r="R141" s="61">
        <v>0</v>
      </c>
      <c r="S141" s="39">
        <f>Q141/Summary!$Q$16</f>
        <v>0</v>
      </c>
      <c r="T141" s="39"/>
      <c r="U141" s="35"/>
      <c r="V141" s="40">
        <f t="shared" si="6"/>
        <v>0</v>
      </c>
    </row>
    <row r="142" spans="1:22" s="3" customFormat="1" ht="25.4" hidden="1" customHeight="1">
      <c r="A142" s="3" t="s">
        <v>968</v>
      </c>
      <c r="B142" s="3" t="s">
        <v>58</v>
      </c>
      <c r="D142" s="26" t="s">
        <v>969</v>
      </c>
      <c r="E142" s="26">
        <v>0</v>
      </c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41">
        <f t="shared" si="5"/>
        <v>0</v>
      </c>
      <c r="R142" s="61">
        <v>0</v>
      </c>
      <c r="S142" s="39">
        <f>Q142/Summary!$Q$16</f>
        <v>0</v>
      </c>
      <c r="T142" s="39"/>
      <c r="U142" s="35"/>
      <c r="V142" s="40">
        <f t="shared" si="6"/>
        <v>0</v>
      </c>
    </row>
    <row r="143" spans="1:22" s="3" customFormat="1" ht="25.4" hidden="1" customHeight="1">
      <c r="A143" s="3" t="s">
        <v>970</v>
      </c>
      <c r="B143" s="3" t="s">
        <v>58</v>
      </c>
      <c r="D143" s="26" t="s">
        <v>971</v>
      </c>
      <c r="E143" s="26">
        <v>0</v>
      </c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41">
        <f t="shared" si="5"/>
        <v>0</v>
      </c>
      <c r="R143" s="61">
        <v>0</v>
      </c>
      <c r="S143" s="39">
        <f>Q143/Summary!$Q$16</f>
        <v>0</v>
      </c>
      <c r="T143" s="39"/>
      <c r="U143" s="35"/>
      <c r="V143" s="40">
        <f t="shared" si="6"/>
        <v>0</v>
      </c>
    </row>
    <row r="144" spans="1:22" s="3" customFormat="1" ht="25.4" hidden="1" customHeight="1">
      <c r="A144" s="3" t="s">
        <v>972</v>
      </c>
      <c r="B144" s="3" t="s">
        <v>58</v>
      </c>
      <c r="D144" s="26" t="s">
        <v>973</v>
      </c>
      <c r="E144" s="26">
        <v>0</v>
      </c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41">
        <f t="shared" ref="Q144:Q157" si="7">SUM(E144:P144)</f>
        <v>0</v>
      </c>
      <c r="R144" s="61">
        <v>0</v>
      </c>
      <c r="S144" s="39">
        <f>Q144/Summary!$Q$16</f>
        <v>0</v>
      </c>
      <c r="T144" s="39"/>
      <c r="U144" s="35"/>
      <c r="V144" s="40">
        <f t="shared" si="6"/>
        <v>0</v>
      </c>
    </row>
    <row r="145" spans="1:22" s="3" customFormat="1" ht="25.4" hidden="1" customHeight="1">
      <c r="A145" s="3" t="s">
        <v>974</v>
      </c>
      <c r="B145" s="3" t="s">
        <v>58</v>
      </c>
      <c r="D145" s="26" t="s">
        <v>975</v>
      </c>
      <c r="E145" s="26">
        <v>0</v>
      </c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41">
        <f t="shared" si="7"/>
        <v>0</v>
      </c>
      <c r="R145" s="61">
        <v>0</v>
      </c>
      <c r="S145" s="39">
        <f>Q145/Summary!$Q$16</f>
        <v>0</v>
      </c>
      <c r="T145" s="39"/>
      <c r="U145" s="35"/>
      <c r="V145" s="40">
        <f t="shared" si="6"/>
        <v>0</v>
      </c>
    </row>
    <row r="146" spans="1:22" s="3" customFormat="1" ht="25.4" hidden="1" customHeight="1">
      <c r="A146" s="3" t="s">
        <v>976</v>
      </c>
      <c r="B146" s="3" t="s">
        <v>58</v>
      </c>
      <c r="D146" s="26" t="s">
        <v>977</v>
      </c>
      <c r="E146" s="26">
        <v>0</v>
      </c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41">
        <f t="shared" si="7"/>
        <v>0</v>
      </c>
      <c r="R146" s="61">
        <v>0</v>
      </c>
      <c r="S146" s="39">
        <f>Q146/Summary!$Q$16</f>
        <v>0</v>
      </c>
      <c r="T146" s="39"/>
      <c r="U146" s="35"/>
      <c r="V146" s="40">
        <f t="shared" si="6"/>
        <v>0</v>
      </c>
    </row>
    <row r="147" spans="1:22" s="3" customFormat="1" ht="25.4" hidden="1" customHeight="1">
      <c r="A147" s="3" t="s">
        <v>978</v>
      </c>
      <c r="B147" s="3" t="s">
        <v>58</v>
      </c>
      <c r="D147" s="26" t="s">
        <v>979</v>
      </c>
      <c r="E147" s="26">
        <v>0</v>
      </c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41">
        <f t="shared" si="7"/>
        <v>0</v>
      </c>
      <c r="R147" s="61">
        <v>0</v>
      </c>
      <c r="S147" s="39">
        <f>Q147/Summary!$Q$16</f>
        <v>0</v>
      </c>
      <c r="T147" s="39"/>
      <c r="U147" s="35"/>
      <c r="V147" s="40">
        <f t="shared" si="6"/>
        <v>0</v>
      </c>
    </row>
    <row r="148" spans="1:22" s="3" customFormat="1" ht="25.4" hidden="1" customHeight="1">
      <c r="A148" s="3" t="s">
        <v>980</v>
      </c>
      <c r="B148" s="3" t="s">
        <v>58</v>
      </c>
      <c r="D148" s="26" t="s">
        <v>981</v>
      </c>
      <c r="E148" s="26">
        <v>0</v>
      </c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41">
        <f t="shared" si="7"/>
        <v>0</v>
      </c>
      <c r="R148" s="61">
        <v>0</v>
      </c>
      <c r="S148" s="39">
        <f>Q148/Summary!$Q$16</f>
        <v>0</v>
      </c>
      <c r="T148" s="39"/>
      <c r="U148" s="35"/>
      <c r="V148" s="40">
        <f t="shared" si="6"/>
        <v>0</v>
      </c>
    </row>
    <row r="149" spans="1:22" s="3" customFormat="1" ht="25.4" hidden="1" customHeight="1">
      <c r="A149" s="3" t="s">
        <v>982</v>
      </c>
      <c r="B149" s="3" t="s">
        <v>58</v>
      </c>
      <c r="D149" s="26" t="s">
        <v>983</v>
      </c>
      <c r="E149" s="26">
        <v>0</v>
      </c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41">
        <f t="shared" si="7"/>
        <v>0</v>
      </c>
      <c r="R149" s="61">
        <v>0</v>
      </c>
      <c r="S149" s="39">
        <f>Q149/Summary!$Q$16</f>
        <v>0</v>
      </c>
      <c r="T149" s="39"/>
      <c r="U149" s="35"/>
      <c r="V149" s="40">
        <f t="shared" si="6"/>
        <v>0</v>
      </c>
    </row>
    <row r="150" spans="1:22" s="3" customFormat="1" ht="25.4" hidden="1" customHeight="1">
      <c r="A150" s="3" t="s">
        <v>984</v>
      </c>
      <c r="B150" s="3" t="s">
        <v>58</v>
      </c>
      <c r="D150" s="26" t="s">
        <v>985</v>
      </c>
      <c r="E150" s="26">
        <v>0</v>
      </c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41">
        <f t="shared" si="7"/>
        <v>0</v>
      </c>
      <c r="R150" s="61">
        <v>0</v>
      </c>
      <c r="S150" s="39">
        <f>Q150/Summary!$Q$16</f>
        <v>0</v>
      </c>
      <c r="T150" s="39"/>
      <c r="U150" s="35"/>
      <c r="V150" s="40">
        <f t="shared" si="6"/>
        <v>0</v>
      </c>
    </row>
    <row r="151" spans="1:22" s="3" customFormat="1" ht="25.4" hidden="1" customHeight="1">
      <c r="A151" s="3" t="s">
        <v>986</v>
      </c>
      <c r="B151" s="3" t="s">
        <v>58</v>
      </c>
      <c r="D151" s="26" t="s">
        <v>987</v>
      </c>
      <c r="E151" s="26">
        <v>0</v>
      </c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41">
        <f t="shared" si="7"/>
        <v>0</v>
      </c>
      <c r="R151" s="61">
        <v>0</v>
      </c>
      <c r="S151" s="39">
        <f>Q151/Summary!$Q$16</f>
        <v>0</v>
      </c>
      <c r="T151" s="39"/>
      <c r="U151" s="35"/>
      <c r="V151" s="40">
        <f t="shared" si="6"/>
        <v>0</v>
      </c>
    </row>
    <row r="152" spans="1:22" s="3" customFormat="1" ht="25.4" hidden="1" customHeight="1">
      <c r="A152" s="3" t="s">
        <v>988</v>
      </c>
      <c r="B152" s="3" t="s">
        <v>58</v>
      </c>
      <c r="D152" s="26" t="s">
        <v>989</v>
      </c>
      <c r="E152" s="26">
        <v>0</v>
      </c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41">
        <f t="shared" si="7"/>
        <v>0</v>
      </c>
      <c r="R152" s="61">
        <v>0</v>
      </c>
      <c r="S152" s="39">
        <f>Q152/Summary!$Q$16</f>
        <v>0</v>
      </c>
      <c r="T152" s="39"/>
      <c r="U152" s="35"/>
      <c r="V152" s="40">
        <f t="shared" si="6"/>
        <v>0</v>
      </c>
    </row>
    <row r="153" spans="1:22" s="3" customFormat="1" ht="25.4" hidden="1" customHeight="1">
      <c r="A153" s="3" t="s">
        <v>990</v>
      </c>
      <c r="B153" s="3" t="s">
        <v>58</v>
      </c>
      <c r="D153" s="26" t="s">
        <v>991</v>
      </c>
      <c r="E153" s="26">
        <v>0</v>
      </c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41">
        <f t="shared" si="7"/>
        <v>0</v>
      </c>
      <c r="R153" s="61">
        <v>0</v>
      </c>
      <c r="S153" s="39">
        <f>Q153/Summary!$Q$16</f>
        <v>0</v>
      </c>
      <c r="T153" s="39"/>
      <c r="U153" s="35"/>
      <c r="V153" s="40">
        <f t="shared" ref="V153:V159" si="8">-IF(Q153-U153=0,0,(Q153-U153)/U153)</f>
        <v>0</v>
      </c>
    </row>
    <row r="154" spans="1:22" s="3" customFormat="1" ht="25.4" hidden="1" customHeight="1">
      <c r="A154" s="3" t="s">
        <v>992</v>
      </c>
      <c r="B154" s="3" t="s">
        <v>58</v>
      </c>
      <c r="D154" s="26" t="s">
        <v>993</v>
      </c>
      <c r="E154" s="26">
        <v>0</v>
      </c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41">
        <f t="shared" si="7"/>
        <v>0</v>
      </c>
      <c r="R154" s="61">
        <v>0</v>
      </c>
      <c r="S154" s="39">
        <f>Q154/Summary!$Q$16</f>
        <v>0</v>
      </c>
      <c r="T154" s="39"/>
      <c r="U154" s="35"/>
      <c r="V154" s="40">
        <f t="shared" si="8"/>
        <v>0</v>
      </c>
    </row>
    <row r="155" spans="1:22" s="3" customFormat="1" ht="25.4" hidden="1" customHeight="1">
      <c r="A155" s="3" t="s">
        <v>994</v>
      </c>
      <c r="B155" s="3" t="s">
        <v>58</v>
      </c>
      <c r="D155" s="26" t="s">
        <v>995</v>
      </c>
      <c r="E155" s="26">
        <v>0</v>
      </c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41">
        <f t="shared" si="7"/>
        <v>0</v>
      </c>
      <c r="R155" s="61">
        <v>0</v>
      </c>
      <c r="S155" s="39">
        <f>Q155/Summary!$Q$16</f>
        <v>0</v>
      </c>
      <c r="T155" s="39"/>
      <c r="U155" s="35"/>
      <c r="V155" s="40">
        <f t="shared" si="8"/>
        <v>0</v>
      </c>
    </row>
    <row r="156" spans="1:22" s="3" customFormat="1" ht="25.4" hidden="1" customHeight="1">
      <c r="A156" s="3" t="s">
        <v>996</v>
      </c>
      <c r="B156" s="3" t="s">
        <v>58</v>
      </c>
      <c r="D156" s="26" t="s">
        <v>997</v>
      </c>
      <c r="E156" s="26">
        <v>0</v>
      </c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41">
        <f t="shared" si="7"/>
        <v>0</v>
      </c>
      <c r="R156" s="61">
        <v>0</v>
      </c>
      <c r="S156" s="39">
        <f>Q156/Summary!$Q$16</f>
        <v>0</v>
      </c>
      <c r="T156" s="39"/>
      <c r="U156" s="35"/>
      <c r="V156" s="40">
        <f t="shared" si="8"/>
        <v>0</v>
      </c>
    </row>
    <row r="157" spans="1:22" s="3" customFormat="1" ht="25.4" customHeight="1">
      <c r="A157" s="3" t="s">
        <v>595</v>
      </c>
      <c r="B157" s="3" t="s">
        <v>58</v>
      </c>
      <c r="D157" s="26" t="s">
        <v>596</v>
      </c>
      <c r="E157" s="26">
        <v>500</v>
      </c>
      <c r="F157" s="26">
        <v>500</v>
      </c>
      <c r="G157" s="26">
        <v>500</v>
      </c>
      <c r="H157" s="26">
        <v>500</v>
      </c>
      <c r="I157" s="26">
        <v>500</v>
      </c>
      <c r="J157" s="26">
        <v>500</v>
      </c>
      <c r="K157" s="26">
        <v>500</v>
      </c>
      <c r="L157" s="26">
        <v>500</v>
      </c>
      <c r="M157" s="26">
        <v>500</v>
      </c>
      <c r="N157" s="26">
        <v>500</v>
      </c>
      <c r="O157" s="26">
        <v>500</v>
      </c>
      <c r="P157" s="26">
        <v>500</v>
      </c>
      <c r="Q157" s="41">
        <f t="shared" si="7"/>
        <v>6000</v>
      </c>
      <c r="R157" s="61">
        <v>32435.11</v>
      </c>
      <c r="S157" s="39">
        <f>Q157/Summary!$Q$16</f>
        <v>7.5329342900333965E-5</v>
      </c>
      <c r="T157" s="39"/>
      <c r="U157" s="35"/>
      <c r="V157" s="40" t="e">
        <f t="shared" si="8"/>
        <v>#DIV/0!</v>
      </c>
    </row>
    <row r="158" spans="1:22" s="19" customFormat="1" ht="25.4" customHeight="1">
      <c r="D158" s="21" t="s">
        <v>597</v>
      </c>
      <c r="E158" s="45">
        <f>SUM(E15:E157)</f>
        <v>72574.06666666668</v>
      </c>
      <c r="F158" s="45">
        <f t="shared" ref="F158:Q158" si="9">SUM(F15:F157)</f>
        <v>71939.206666666665</v>
      </c>
      <c r="G158" s="45">
        <f t="shared" si="9"/>
        <v>71820.046666666662</v>
      </c>
      <c r="H158" s="45">
        <f t="shared" si="9"/>
        <v>71934.346666666679</v>
      </c>
      <c r="I158" s="45">
        <f t="shared" si="9"/>
        <v>71863.966666666674</v>
      </c>
      <c r="J158" s="45">
        <f t="shared" si="9"/>
        <v>71504.506666666683</v>
      </c>
      <c r="K158" s="45">
        <f t="shared" si="9"/>
        <v>71386.606666666674</v>
      </c>
      <c r="L158" s="45">
        <f t="shared" si="9"/>
        <v>71401.006666666683</v>
      </c>
      <c r="M158" s="45">
        <f t="shared" si="9"/>
        <v>71484.886666666673</v>
      </c>
      <c r="N158" s="45">
        <f t="shared" si="9"/>
        <v>71825.806666666671</v>
      </c>
      <c r="O158" s="45">
        <f t="shared" si="9"/>
        <v>71357.44666666667</v>
      </c>
      <c r="P158" s="45">
        <f t="shared" si="9"/>
        <v>71315.866666666669</v>
      </c>
      <c r="Q158" s="45">
        <f t="shared" si="9"/>
        <v>860407.76000000013</v>
      </c>
      <c r="R158" s="45">
        <v>863980.97</v>
      </c>
      <c r="S158" s="39">
        <f>Q158/Summary!$Q$16</f>
        <v>1.0802325197858044E-2</v>
      </c>
      <c r="T158" s="39"/>
      <c r="U158" s="35"/>
      <c r="V158" s="40" t="e">
        <f t="shared" si="8"/>
        <v>#DIV/0!</v>
      </c>
    </row>
    <row r="159" spans="1:22" s="19" customFormat="1" ht="24.75" customHeight="1">
      <c r="D159" s="21" t="s">
        <v>598</v>
      </c>
      <c r="E159" s="45">
        <f>+E12+E158</f>
        <v>313749.96666666667</v>
      </c>
      <c r="F159" s="45">
        <f t="shared" ref="F159:Q159" si="10">+F12+F158</f>
        <v>286847.77666666661</v>
      </c>
      <c r="G159" s="45">
        <f t="shared" si="10"/>
        <v>286100.05666666664</v>
      </c>
      <c r="H159" s="45">
        <f t="shared" si="10"/>
        <v>294159.55666666664</v>
      </c>
      <c r="I159" s="45">
        <f t="shared" si="10"/>
        <v>298804.25666666671</v>
      </c>
      <c r="J159" s="45">
        <f t="shared" si="10"/>
        <v>288791.53666666668</v>
      </c>
      <c r="K159" s="45">
        <f t="shared" si="10"/>
        <v>288418.39666666667</v>
      </c>
      <c r="L159" s="45">
        <f t="shared" si="10"/>
        <v>288465.01666666666</v>
      </c>
      <c r="M159" s="45">
        <f t="shared" si="10"/>
        <v>288577.15666666668</v>
      </c>
      <c r="N159" s="45">
        <f t="shared" si="10"/>
        <v>315296.46666666667</v>
      </c>
      <c r="O159" s="45">
        <f t="shared" si="10"/>
        <v>284398.87666666665</v>
      </c>
      <c r="P159" s="45">
        <f t="shared" si="10"/>
        <v>284279.35666666669</v>
      </c>
      <c r="Q159" s="45">
        <f t="shared" si="10"/>
        <v>3517888.4200000004</v>
      </c>
      <c r="R159" s="45">
        <v>3141774.97</v>
      </c>
      <c r="S159" s="39">
        <f>Q159/Summary!$Q$16</f>
        <v>4.4166703845882352E-2</v>
      </c>
      <c r="T159" s="39"/>
      <c r="U159" s="35"/>
      <c r="V159" s="40" t="e">
        <f t="shared" si="8"/>
        <v>#DIV/0!</v>
      </c>
    </row>
    <row r="160" spans="1:22" s="3" customFormat="1" ht="25.4" customHeight="1">
      <c r="A160" s="3" t="s">
        <v>599</v>
      </c>
      <c r="B160" s="3" t="s">
        <v>58</v>
      </c>
      <c r="D160" s="42" t="s">
        <v>353</v>
      </c>
      <c r="E160" s="75"/>
      <c r="F160" s="75"/>
      <c r="G160" s="68"/>
      <c r="H160" s="68"/>
      <c r="I160" s="68"/>
      <c r="J160" s="61"/>
      <c r="K160" s="61"/>
      <c r="L160" s="61"/>
      <c r="M160" s="61"/>
      <c r="N160" s="61"/>
      <c r="O160" s="61"/>
      <c r="P160" s="61"/>
      <c r="Q160" s="61"/>
      <c r="R160" s="61">
        <v>3483281.81</v>
      </c>
      <c r="U160" s="35"/>
      <c r="V160" s="40"/>
    </row>
    <row r="161" spans="1:22" s="3" customFormat="1" ht="25.4" customHeight="1">
      <c r="D161" s="42"/>
      <c r="E161" s="68"/>
      <c r="F161" s="68"/>
      <c r="G161" s="68"/>
      <c r="H161" s="68"/>
      <c r="I161" s="68"/>
      <c r="U161" s="35"/>
      <c r="V161" s="40"/>
    </row>
    <row r="162" spans="1:22" s="3" customFormat="1" ht="25.4" customHeight="1">
      <c r="D162" s="19" t="s">
        <v>602</v>
      </c>
      <c r="E162" s="48"/>
      <c r="F162" s="48"/>
      <c r="G162" s="48"/>
      <c r="H162" s="48"/>
      <c r="I162" s="48"/>
      <c r="U162" s="35"/>
      <c r="V162" s="40"/>
    </row>
    <row r="163" spans="1:22" s="3" customFormat="1" ht="25.4" customHeight="1">
      <c r="D163" s="19" t="s">
        <v>431</v>
      </c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U163" s="35"/>
      <c r="V163" s="40"/>
    </row>
    <row r="164" spans="1:22" s="3" customFormat="1" ht="25.4" customHeight="1">
      <c r="A164" s="50" t="s">
        <v>297</v>
      </c>
      <c r="B164" s="51" t="s">
        <v>58</v>
      </c>
      <c r="D164" s="26" t="s">
        <v>299</v>
      </c>
      <c r="E164" s="63">
        <v>39400</v>
      </c>
      <c r="F164" s="63">
        <v>39400</v>
      </c>
      <c r="G164" s="63">
        <v>39400</v>
      </c>
      <c r="H164" s="63">
        <v>39400</v>
      </c>
      <c r="I164" s="63">
        <v>39400</v>
      </c>
      <c r="J164" s="63">
        <v>39400</v>
      </c>
      <c r="K164" s="63">
        <v>39400</v>
      </c>
      <c r="L164" s="63">
        <v>39400</v>
      </c>
      <c r="M164" s="63">
        <v>39400</v>
      </c>
      <c r="N164" s="63">
        <v>39400</v>
      </c>
      <c r="O164" s="63">
        <v>39400</v>
      </c>
      <c r="P164" s="63">
        <v>39400</v>
      </c>
      <c r="Q164" s="41">
        <f>SUM(E164:P164)</f>
        <v>472800</v>
      </c>
      <c r="R164" s="61">
        <v>507400.35</v>
      </c>
      <c r="S164" s="39">
        <f>Q164/Summary!$Q$16</f>
        <v>5.935952220546316E-3</v>
      </c>
      <c r="T164" s="39"/>
      <c r="U164" s="35"/>
      <c r="V164" s="40" t="e">
        <f>-IF(Q164-U164=0,0,(Q164-U164)/U164)</f>
        <v>#DIV/0!</v>
      </c>
    </row>
    <row r="165" spans="1:22" s="3" customFormat="1" ht="25.4" customHeight="1">
      <c r="A165" s="50" t="s">
        <v>300</v>
      </c>
      <c r="B165" s="51" t="s">
        <v>58</v>
      </c>
      <c r="D165" s="26" t="s">
        <v>434</v>
      </c>
      <c r="E165" s="63">
        <v>95300</v>
      </c>
      <c r="F165" s="63">
        <v>95300</v>
      </c>
      <c r="G165" s="63">
        <v>95300</v>
      </c>
      <c r="H165" s="63">
        <v>95300</v>
      </c>
      <c r="I165" s="63">
        <v>95300</v>
      </c>
      <c r="J165" s="63">
        <v>95300</v>
      </c>
      <c r="K165" s="63">
        <v>95300</v>
      </c>
      <c r="L165" s="63">
        <v>95300</v>
      </c>
      <c r="M165" s="63">
        <v>95300</v>
      </c>
      <c r="N165" s="63">
        <v>95300</v>
      </c>
      <c r="O165" s="63">
        <v>95300</v>
      </c>
      <c r="P165" s="63">
        <v>95300</v>
      </c>
      <c r="Q165" s="41">
        <f>SUM(E165:P165)</f>
        <v>1143600</v>
      </c>
      <c r="R165" s="61">
        <v>763164.12</v>
      </c>
      <c r="S165" s="39">
        <f>Q165/Summary!$Q$16</f>
        <v>1.4357772756803654E-2</v>
      </c>
      <c r="T165" s="39"/>
      <c r="U165" s="35"/>
      <c r="V165" s="40" t="e">
        <f t="shared" ref="V165:V197" si="11">-IF(Q165-U165=0,0,(Q165-U165)/U165)</f>
        <v>#DIV/0!</v>
      </c>
    </row>
    <row r="166" spans="1:22" s="3" customFormat="1" ht="25.4" customHeight="1">
      <c r="B166" s="51"/>
      <c r="D166" s="21" t="s">
        <v>437</v>
      </c>
      <c r="E166" s="52">
        <f>SUM(E164:E165)</f>
        <v>134700</v>
      </c>
      <c r="F166" s="52">
        <f t="shared" ref="F166:P166" si="12">SUM(F164:F165)</f>
        <v>134700</v>
      </c>
      <c r="G166" s="52">
        <f t="shared" si="12"/>
        <v>134700</v>
      </c>
      <c r="H166" s="52">
        <f t="shared" si="12"/>
        <v>134700</v>
      </c>
      <c r="I166" s="52">
        <f t="shared" si="12"/>
        <v>134700</v>
      </c>
      <c r="J166" s="52">
        <f t="shared" si="12"/>
        <v>134700</v>
      </c>
      <c r="K166" s="52">
        <f t="shared" si="12"/>
        <v>134700</v>
      </c>
      <c r="L166" s="52">
        <f t="shared" si="12"/>
        <v>134700</v>
      </c>
      <c r="M166" s="52">
        <f t="shared" si="12"/>
        <v>134700</v>
      </c>
      <c r="N166" s="52">
        <f t="shared" si="12"/>
        <v>134700</v>
      </c>
      <c r="O166" s="52">
        <f t="shared" si="12"/>
        <v>134700</v>
      </c>
      <c r="P166" s="52">
        <f t="shared" si="12"/>
        <v>134700</v>
      </c>
      <c r="Q166" s="52">
        <f t="shared" ref="Q166" si="13">SUM(Q164:Q165)</f>
        <v>1616400</v>
      </c>
      <c r="R166" s="52">
        <v>1270564.47</v>
      </c>
      <c r="S166" s="39">
        <f>Q166/Summary!$Q$16</f>
        <v>2.0293724977349971E-2</v>
      </c>
      <c r="T166" s="39"/>
      <c r="U166" s="35"/>
      <c r="V166" s="40" t="e">
        <f t="shared" si="11"/>
        <v>#DIV/0!</v>
      </c>
    </row>
    <row r="167" spans="1:22" s="3" customFormat="1" ht="25.4" customHeight="1">
      <c r="B167" s="51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U167" s="35"/>
      <c r="V167" s="40"/>
    </row>
    <row r="168" spans="1:22" s="3" customFormat="1" ht="25.4" customHeight="1">
      <c r="A168" s="254" t="s">
        <v>603</v>
      </c>
      <c r="B168" s="51" t="s">
        <v>58</v>
      </c>
      <c r="D168" s="26" t="s">
        <v>309</v>
      </c>
      <c r="E168" s="63">
        <v>26289.65</v>
      </c>
      <c r="F168" s="63">
        <v>0</v>
      </c>
      <c r="G168" s="63">
        <v>0</v>
      </c>
      <c r="H168" s="63">
        <v>7886.8799999999992</v>
      </c>
      <c r="I168" s="63">
        <v>13144.84</v>
      </c>
      <c r="J168" s="63">
        <v>0</v>
      </c>
      <c r="K168" s="63">
        <v>0</v>
      </c>
      <c r="L168" s="63">
        <v>0</v>
      </c>
      <c r="M168" s="63">
        <v>0</v>
      </c>
      <c r="N168" s="63">
        <v>26289.65</v>
      </c>
      <c r="O168" s="63">
        <v>0</v>
      </c>
      <c r="P168" s="63">
        <v>0</v>
      </c>
      <c r="Q168" s="41">
        <f>SUM(E168:P168)</f>
        <v>73611.01999999999</v>
      </c>
      <c r="R168" s="61">
        <v>41327.96</v>
      </c>
      <c r="S168" s="39">
        <f>Q168/Summary!$Q$16</f>
        <v>9.2417829447055677E-4</v>
      </c>
      <c r="T168" s="39"/>
      <c r="U168" s="35"/>
      <c r="V168" s="40" t="e">
        <f t="shared" si="11"/>
        <v>#DIV/0!</v>
      </c>
    </row>
    <row r="169" spans="1:22" s="3" customFormat="1" ht="25.4" customHeight="1">
      <c r="A169" s="54" t="s">
        <v>310</v>
      </c>
      <c r="B169" s="51" t="s">
        <v>58</v>
      </c>
      <c r="D169" s="26" t="s">
        <v>311</v>
      </c>
      <c r="E169" s="63">
        <v>1683.75</v>
      </c>
      <c r="F169" s="63">
        <v>1683.75</v>
      </c>
      <c r="G169" s="63">
        <v>1683.75</v>
      </c>
      <c r="H169" s="63">
        <v>1683.75</v>
      </c>
      <c r="I169" s="63">
        <v>1683.75</v>
      </c>
      <c r="J169" s="63">
        <v>1683.75</v>
      </c>
      <c r="K169" s="63">
        <v>1683.75</v>
      </c>
      <c r="L169" s="63">
        <v>1683.75</v>
      </c>
      <c r="M169" s="63">
        <v>1683.75</v>
      </c>
      <c r="N169" s="63">
        <v>1683.75</v>
      </c>
      <c r="O169" s="63">
        <v>1683.75</v>
      </c>
      <c r="P169" s="63">
        <v>1683.75</v>
      </c>
      <c r="Q169" s="41">
        <f t="shared" ref="Q169:Q174" si="14">SUM(E169:P169)</f>
        <v>20205</v>
      </c>
      <c r="R169" s="61">
        <v>180141.06</v>
      </c>
      <c r="S169" s="39">
        <f>Q169/Summary!$Q$16</f>
        <v>2.5367156221687464E-4</v>
      </c>
      <c r="T169" s="39"/>
      <c r="U169" s="35"/>
      <c r="V169" s="40" t="e">
        <f t="shared" si="11"/>
        <v>#DIV/0!</v>
      </c>
    </row>
    <row r="170" spans="1:22" s="3" customFormat="1" ht="25.4" customHeight="1">
      <c r="A170" s="254" t="s">
        <v>604</v>
      </c>
      <c r="B170" s="51" t="s">
        <v>58</v>
      </c>
      <c r="D170" s="26" t="s">
        <v>313</v>
      </c>
      <c r="E170" s="63">
        <v>9000</v>
      </c>
      <c r="F170" s="63">
        <v>9000</v>
      </c>
      <c r="G170" s="63">
        <v>9000</v>
      </c>
      <c r="H170" s="63">
        <v>9000</v>
      </c>
      <c r="I170" s="63">
        <v>9000</v>
      </c>
      <c r="J170" s="63">
        <v>12900</v>
      </c>
      <c r="K170" s="63">
        <v>12900</v>
      </c>
      <c r="L170" s="63">
        <v>12900</v>
      </c>
      <c r="M170" s="63">
        <v>12900</v>
      </c>
      <c r="N170" s="63">
        <v>12900</v>
      </c>
      <c r="O170" s="63">
        <v>9000</v>
      </c>
      <c r="P170" s="63">
        <v>9000</v>
      </c>
      <c r="Q170" s="41">
        <f t="shared" si="14"/>
        <v>127500</v>
      </c>
      <c r="R170" s="61">
        <v>12560</v>
      </c>
      <c r="S170" s="39">
        <f>Q170/Summary!$Q$16</f>
        <v>1.6007485366320968E-3</v>
      </c>
      <c r="T170" s="39"/>
      <c r="U170" s="35"/>
      <c r="V170" s="40" t="e">
        <f t="shared" si="11"/>
        <v>#DIV/0!</v>
      </c>
    </row>
    <row r="171" spans="1:22" s="3" customFormat="1" ht="25.4" customHeight="1">
      <c r="A171" s="254" t="s">
        <v>605</v>
      </c>
      <c r="B171" s="51" t="s">
        <v>58</v>
      </c>
      <c r="D171" s="26" t="s">
        <v>315</v>
      </c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41">
        <f t="shared" ref="Q171:Q172" si="15">SUM(E171:P171)</f>
        <v>0</v>
      </c>
      <c r="R171" s="61">
        <v>14000</v>
      </c>
      <c r="S171" s="39">
        <f>Q171/Summary!$Q$16</f>
        <v>0</v>
      </c>
      <c r="T171" s="39"/>
      <c r="U171" s="35"/>
      <c r="V171" s="40">
        <f t="shared" ref="V171:V172" si="16">-IF(Q171-U171=0,0,(Q171-U171)/U171)</f>
        <v>0</v>
      </c>
    </row>
    <row r="172" spans="1:22" s="3" customFormat="1" ht="25.4" customHeight="1">
      <c r="A172" s="254" t="s">
        <v>606</v>
      </c>
      <c r="B172" s="51" t="s">
        <v>58</v>
      </c>
      <c r="D172" s="26" t="s">
        <v>317</v>
      </c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41">
        <f t="shared" si="15"/>
        <v>0</v>
      </c>
      <c r="R172" s="61">
        <v>0</v>
      </c>
      <c r="S172" s="39">
        <f>Q172/Summary!$Q$16</f>
        <v>0</v>
      </c>
      <c r="T172" s="39"/>
      <c r="U172" s="35"/>
      <c r="V172" s="40">
        <f t="shared" si="16"/>
        <v>0</v>
      </c>
    </row>
    <row r="173" spans="1:22" s="3" customFormat="1" ht="25.4" customHeight="1">
      <c r="A173" s="254" t="s">
        <v>1066</v>
      </c>
      <c r="B173" s="51" t="s">
        <v>58</v>
      </c>
      <c r="D173" s="26" t="s">
        <v>1069</v>
      </c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41">
        <f t="shared" si="14"/>
        <v>0</v>
      </c>
      <c r="R173" s="61">
        <v>14000</v>
      </c>
      <c r="S173" s="39">
        <f>Q173/Summary!$Q$16</f>
        <v>0</v>
      </c>
      <c r="T173" s="39"/>
      <c r="U173" s="35"/>
      <c r="V173" s="40">
        <f t="shared" si="11"/>
        <v>0</v>
      </c>
    </row>
    <row r="174" spans="1:22" s="3" customFormat="1" ht="25.4" customHeight="1">
      <c r="A174" s="254" t="s">
        <v>1066</v>
      </c>
      <c r="B174" s="51" t="s">
        <v>58</v>
      </c>
      <c r="D174" s="26" t="s">
        <v>1070</v>
      </c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41">
        <f t="shared" si="14"/>
        <v>0</v>
      </c>
      <c r="R174" s="61">
        <v>0</v>
      </c>
      <c r="S174" s="39">
        <f>Q174/Summary!$Q$16</f>
        <v>0</v>
      </c>
      <c r="T174" s="39"/>
      <c r="U174" s="35"/>
      <c r="V174" s="40">
        <f t="shared" si="11"/>
        <v>0</v>
      </c>
    </row>
    <row r="175" spans="1:22" s="19" customFormat="1" ht="25.4" customHeight="1">
      <c r="A175" s="54"/>
      <c r="B175" s="51"/>
      <c r="D175" s="19" t="s">
        <v>318</v>
      </c>
      <c r="E175" s="52">
        <f>SUM(E168:E174)</f>
        <v>36973.4</v>
      </c>
      <c r="F175" s="52">
        <f t="shared" ref="F175:P175" si="17">SUM(F168:F174)</f>
        <v>10683.75</v>
      </c>
      <c r="G175" s="52">
        <f t="shared" si="17"/>
        <v>10683.75</v>
      </c>
      <c r="H175" s="52">
        <f t="shared" si="17"/>
        <v>18570.629999999997</v>
      </c>
      <c r="I175" s="52">
        <f t="shared" si="17"/>
        <v>23828.59</v>
      </c>
      <c r="J175" s="52">
        <f t="shared" si="17"/>
        <v>14583.75</v>
      </c>
      <c r="K175" s="52">
        <f t="shared" si="17"/>
        <v>14583.75</v>
      </c>
      <c r="L175" s="52">
        <f t="shared" si="17"/>
        <v>14583.75</v>
      </c>
      <c r="M175" s="52">
        <f t="shared" si="17"/>
        <v>14583.75</v>
      </c>
      <c r="N175" s="52">
        <f t="shared" si="17"/>
        <v>40873.4</v>
      </c>
      <c r="O175" s="52">
        <f t="shared" si="17"/>
        <v>10683.75</v>
      </c>
      <c r="P175" s="52">
        <f t="shared" si="17"/>
        <v>10683.75</v>
      </c>
      <c r="Q175" s="52">
        <f t="shared" ref="Q175" si="18">SUM(Q168:Q174)</f>
        <v>221316.02</v>
      </c>
      <c r="R175" s="52">
        <v>248029.02</v>
      </c>
      <c r="S175" s="39">
        <f>Q175/Summary!$Q$16</f>
        <v>2.7785983933195282E-3</v>
      </c>
      <c r="T175" s="39"/>
      <c r="U175" s="35"/>
      <c r="V175" s="40" t="e">
        <f t="shared" si="11"/>
        <v>#DIV/0!</v>
      </c>
    </row>
    <row r="176" spans="1:22" s="3" customFormat="1" ht="25.4" customHeight="1">
      <c r="A176" s="50"/>
      <c r="D176" s="19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U176" s="35"/>
      <c r="V176" s="40"/>
    </row>
    <row r="177" spans="1:22" s="3" customFormat="1" ht="25.4" customHeight="1">
      <c r="A177" s="254" t="s">
        <v>609</v>
      </c>
      <c r="B177" s="51" t="s">
        <v>58</v>
      </c>
      <c r="D177" s="26" t="s">
        <v>320</v>
      </c>
      <c r="E177" s="63">
        <v>20205</v>
      </c>
      <c r="F177" s="63">
        <v>20205</v>
      </c>
      <c r="G177" s="63">
        <v>20205</v>
      </c>
      <c r="H177" s="63">
        <v>20205</v>
      </c>
      <c r="I177" s="63">
        <v>20205</v>
      </c>
      <c r="J177" s="63">
        <v>20205</v>
      </c>
      <c r="K177" s="63">
        <v>20205</v>
      </c>
      <c r="L177" s="63">
        <v>20205</v>
      </c>
      <c r="M177" s="63">
        <v>20205</v>
      </c>
      <c r="N177" s="63">
        <v>20205</v>
      </c>
      <c r="O177" s="63">
        <v>20205</v>
      </c>
      <c r="P177" s="63">
        <v>20205</v>
      </c>
      <c r="Q177" s="41">
        <f>SUM(E177:P177)</f>
        <v>242460</v>
      </c>
      <c r="R177" s="61">
        <v>157306.07</v>
      </c>
      <c r="S177" s="39">
        <f>Q177/Summary!$Q$16</f>
        <v>3.0440587466024956E-3</v>
      </c>
      <c r="T177" s="39"/>
      <c r="U177" s="35"/>
      <c r="V177" s="40" t="e">
        <f t="shared" si="11"/>
        <v>#DIV/0!</v>
      </c>
    </row>
    <row r="178" spans="1:22" s="3" customFormat="1" ht="25.4" customHeight="1">
      <c r="A178" s="254" t="s">
        <v>610</v>
      </c>
      <c r="B178" s="51" t="s">
        <v>58</v>
      </c>
      <c r="D178" s="26" t="s">
        <v>322</v>
      </c>
      <c r="E178" s="63">
        <v>7769.46</v>
      </c>
      <c r="F178" s="63">
        <v>7769.46</v>
      </c>
      <c r="G178" s="63">
        <v>7769.46</v>
      </c>
      <c r="H178" s="63">
        <v>7769.46</v>
      </c>
      <c r="I178" s="63">
        <v>7769.46</v>
      </c>
      <c r="J178" s="63">
        <v>7769.46</v>
      </c>
      <c r="K178" s="63">
        <v>7769.46</v>
      </c>
      <c r="L178" s="63">
        <v>7769.46</v>
      </c>
      <c r="M178" s="63">
        <v>7769.46</v>
      </c>
      <c r="N178" s="63">
        <v>7769.46</v>
      </c>
      <c r="O178" s="63">
        <v>7769.46</v>
      </c>
      <c r="P178" s="63">
        <v>7769.46</v>
      </c>
      <c r="Q178" s="41">
        <f t="shared" ref="Q178:Q184" si="19">SUM(E178:P178)</f>
        <v>93233.520000000019</v>
      </c>
      <c r="R178" s="61">
        <v>118934.63</v>
      </c>
      <c r="S178" s="39">
        <f>Q178/Summary!$Q$16</f>
        <v>1.1705366329808576E-3</v>
      </c>
      <c r="T178" s="39"/>
      <c r="U178" s="35"/>
      <c r="V178" s="40" t="e">
        <f t="shared" si="11"/>
        <v>#DIV/0!</v>
      </c>
    </row>
    <row r="179" spans="1:22" s="3" customFormat="1" ht="25.4" customHeight="1">
      <c r="A179" s="254" t="s">
        <v>611</v>
      </c>
      <c r="B179" s="51" t="s">
        <v>58</v>
      </c>
      <c r="D179" s="26" t="s">
        <v>324</v>
      </c>
      <c r="E179" s="63">
        <v>1077.5999999999999</v>
      </c>
      <c r="F179" s="63">
        <v>1077.5999999999999</v>
      </c>
      <c r="G179" s="63">
        <v>1077.5999999999999</v>
      </c>
      <c r="H179" s="63">
        <v>1077.5999999999999</v>
      </c>
      <c r="I179" s="63">
        <v>1077.5999999999999</v>
      </c>
      <c r="J179" s="63">
        <v>1077.5999999999999</v>
      </c>
      <c r="K179" s="63">
        <v>1077.5999999999999</v>
      </c>
      <c r="L179" s="63">
        <v>1077.5999999999999</v>
      </c>
      <c r="M179" s="63">
        <v>1077.5999999999999</v>
      </c>
      <c r="N179" s="63">
        <v>1077.5999999999999</v>
      </c>
      <c r="O179" s="63">
        <v>1077.5999999999999</v>
      </c>
      <c r="P179" s="63">
        <v>1077.5999999999999</v>
      </c>
      <c r="Q179" s="41">
        <f t="shared" si="19"/>
        <v>12931.200000000003</v>
      </c>
      <c r="R179" s="61">
        <v>6483.62</v>
      </c>
      <c r="S179" s="39">
        <f>Q179/Summary!$Q$16</f>
        <v>1.6234979981879979E-4</v>
      </c>
      <c r="T179" s="39"/>
      <c r="U179" s="35"/>
      <c r="V179" s="40" t="e">
        <f t="shared" si="11"/>
        <v>#DIV/0!</v>
      </c>
    </row>
    <row r="180" spans="1:22" s="3" customFormat="1" ht="25.4" customHeight="1">
      <c r="A180" s="254" t="s">
        <v>612</v>
      </c>
      <c r="B180" s="51" t="s">
        <v>58</v>
      </c>
      <c r="D180" s="26" t="s">
        <v>326</v>
      </c>
      <c r="E180" s="63">
        <v>538.79999999999995</v>
      </c>
      <c r="F180" s="63">
        <v>538.79999999999995</v>
      </c>
      <c r="G180" s="63">
        <v>538.79999999999995</v>
      </c>
      <c r="H180" s="63">
        <v>538.79999999999995</v>
      </c>
      <c r="I180" s="63">
        <v>538.79999999999995</v>
      </c>
      <c r="J180" s="63">
        <v>538.79999999999995</v>
      </c>
      <c r="K180" s="63">
        <v>538.79999999999995</v>
      </c>
      <c r="L180" s="63">
        <v>538.79999999999995</v>
      </c>
      <c r="M180" s="63">
        <v>538.79999999999995</v>
      </c>
      <c r="N180" s="63">
        <v>538.79999999999995</v>
      </c>
      <c r="O180" s="63">
        <v>538.79999999999995</v>
      </c>
      <c r="P180" s="63">
        <v>538.79999999999995</v>
      </c>
      <c r="Q180" s="41">
        <f t="shared" si="19"/>
        <v>6465.6000000000013</v>
      </c>
      <c r="R180" s="61">
        <v>3256.16</v>
      </c>
      <c r="S180" s="39">
        <f>Q180/Summary!$Q$16</f>
        <v>8.1174899909399893E-5</v>
      </c>
      <c r="T180" s="39"/>
      <c r="U180" s="35"/>
      <c r="V180" s="40" t="e">
        <f t="shared" si="11"/>
        <v>#DIV/0!</v>
      </c>
    </row>
    <row r="181" spans="1:22" s="3" customFormat="1" ht="25.4" customHeight="1">
      <c r="A181" s="254" t="s">
        <v>613</v>
      </c>
      <c r="B181" s="51" t="s">
        <v>58</v>
      </c>
      <c r="D181" s="26" t="s">
        <v>328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41">
        <f t="shared" si="19"/>
        <v>0</v>
      </c>
      <c r="R181" s="61">
        <v>12101.47</v>
      </c>
      <c r="S181" s="39">
        <f>Q181/Summary!$Q$16</f>
        <v>0</v>
      </c>
      <c r="T181" s="39"/>
      <c r="U181" s="35"/>
      <c r="V181" s="40">
        <f t="shared" si="11"/>
        <v>0</v>
      </c>
    </row>
    <row r="182" spans="1:22" s="3" customFormat="1" ht="25.4" customHeight="1">
      <c r="A182" s="254" t="s">
        <v>614</v>
      </c>
      <c r="B182" s="51" t="s">
        <v>58</v>
      </c>
      <c r="D182" s="26" t="s">
        <v>330</v>
      </c>
      <c r="E182" s="63">
        <v>10776</v>
      </c>
      <c r="F182" s="63">
        <v>10776</v>
      </c>
      <c r="G182" s="63">
        <v>10776</v>
      </c>
      <c r="H182" s="63">
        <v>10776</v>
      </c>
      <c r="I182" s="63">
        <v>10776</v>
      </c>
      <c r="J182" s="63">
        <v>10776</v>
      </c>
      <c r="K182" s="63">
        <v>10776</v>
      </c>
      <c r="L182" s="63">
        <v>10776</v>
      </c>
      <c r="M182" s="63">
        <v>10776</v>
      </c>
      <c r="N182" s="63">
        <v>10776</v>
      </c>
      <c r="O182" s="63">
        <v>10776</v>
      </c>
      <c r="P182" s="63">
        <v>10776</v>
      </c>
      <c r="Q182" s="41">
        <f t="shared" si="19"/>
        <v>129312</v>
      </c>
      <c r="R182" s="61">
        <v>146035.75</v>
      </c>
      <c r="S182" s="39">
        <f>Q182/Summary!$Q$16</f>
        <v>1.6234979981879975E-3</v>
      </c>
      <c r="T182" s="39"/>
      <c r="U182" s="35"/>
      <c r="V182" s="40" t="e">
        <f t="shared" si="11"/>
        <v>#DIV/0!</v>
      </c>
    </row>
    <row r="183" spans="1:22" s="3" customFormat="1" ht="25.4" customHeight="1">
      <c r="A183" s="254" t="s">
        <v>615</v>
      </c>
      <c r="B183" s="51" t="s">
        <v>58</v>
      </c>
      <c r="D183" s="26" t="s">
        <v>332</v>
      </c>
      <c r="E183" s="63">
        <v>2694</v>
      </c>
      <c r="F183" s="63">
        <v>2694</v>
      </c>
      <c r="G183" s="63">
        <v>2694</v>
      </c>
      <c r="H183" s="63">
        <v>2694</v>
      </c>
      <c r="I183" s="63">
        <v>2694</v>
      </c>
      <c r="J183" s="63">
        <v>2694</v>
      </c>
      <c r="K183" s="63">
        <v>2694</v>
      </c>
      <c r="L183" s="63">
        <v>2694</v>
      </c>
      <c r="M183" s="63">
        <v>2694</v>
      </c>
      <c r="N183" s="63">
        <v>2694</v>
      </c>
      <c r="O183" s="63">
        <v>2694</v>
      </c>
      <c r="P183" s="63">
        <v>2694</v>
      </c>
      <c r="Q183" s="41">
        <f t="shared" si="19"/>
        <v>32328</v>
      </c>
      <c r="R183" s="61">
        <v>0</v>
      </c>
      <c r="S183" s="39">
        <f>Q183/Summary!$Q$16</f>
        <v>4.0587449954699939E-4</v>
      </c>
      <c r="T183" s="39"/>
      <c r="U183" s="35"/>
      <c r="V183" s="40" t="e">
        <f t="shared" si="11"/>
        <v>#DIV/0!</v>
      </c>
    </row>
    <row r="184" spans="1:22" s="3" customFormat="1" ht="25.4" customHeight="1">
      <c r="A184" s="254" t="s">
        <v>616</v>
      </c>
      <c r="B184" s="51" t="s">
        <v>58</v>
      </c>
      <c r="D184" s="26" t="s">
        <v>334</v>
      </c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41">
        <f t="shared" si="19"/>
        <v>0</v>
      </c>
      <c r="R184" s="61">
        <v>0</v>
      </c>
      <c r="S184" s="39">
        <f>Q184/Summary!$Q$16</f>
        <v>0</v>
      </c>
      <c r="T184" s="39"/>
      <c r="U184" s="35"/>
      <c r="V184" s="40">
        <f t="shared" si="11"/>
        <v>0</v>
      </c>
    </row>
    <row r="185" spans="1:22" s="19" customFormat="1" ht="25.4" customHeight="1">
      <c r="A185" s="54"/>
      <c r="B185" s="51"/>
      <c r="D185" s="19" t="s">
        <v>335</v>
      </c>
      <c r="E185" s="45">
        <f>SUM(E177:E184)</f>
        <v>43060.86</v>
      </c>
      <c r="F185" s="45">
        <f t="shared" ref="F185:P185" si="20">SUM(F177:F184)</f>
        <v>43060.86</v>
      </c>
      <c r="G185" s="45">
        <f t="shared" si="20"/>
        <v>43060.86</v>
      </c>
      <c r="H185" s="45">
        <f t="shared" si="20"/>
        <v>43060.86</v>
      </c>
      <c r="I185" s="45">
        <f t="shared" si="20"/>
        <v>43060.86</v>
      </c>
      <c r="J185" s="45">
        <f t="shared" si="20"/>
        <v>43060.86</v>
      </c>
      <c r="K185" s="45">
        <f t="shared" si="20"/>
        <v>43060.86</v>
      </c>
      <c r="L185" s="45">
        <f t="shared" si="20"/>
        <v>43060.86</v>
      </c>
      <c r="M185" s="45">
        <f t="shared" si="20"/>
        <v>43060.86</v>
      </c>
      <c r="N185" s="45">
        <f t="shared" si="20"/>
        <v>43060.86</v>
      </c>
      <c r="O185" s="45">
        <f t="shared" si="20"/>
        <v>43060.86</v>
      </c>
      <c r="P185" s="45">
        <f t="shared" si="20"/>
        <v>43060.86</v>
      </c>
      <c r="Q185" s="45">
        <f>SUM(Q177:Q184)</f>
        <v>516730.32</v>
      </c>
      <c r="R185" s="45">
        <v>444117.7</v>
      </c>
      <c r="S185" s="39">
        <f>Q185/Summary!$Q$16</f>
        <v>6.4874925770465495E-3</v>
      </c>
      <c r="T185" s="39"/>
      <c r="U185" s="35"/>
      <c r="V185" s="40" t="e">
        <f t="shared" si="11"/>
        <v>#DIV/0!</v>
      </c>
    </row>
    <row r="186" spans="1:22" s="19" customFormat="1" ht="24.75" customHeight="1">
      <c r="A186" s="54"/>
      <c r="B186" s="51"/>
      <c r="D186" s="21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U186" s="35"/>
      <c r="V186" s="40"/>
    </row>
    <row r="187" spans="1:22" s="3" customFormat="1" ht="25.4" hidden="1" customHeight="1">
      <c r="A187" s="254" t="s">
        <v>617</v>
      </c>
      <c r="B187" s="51" t="s">
        <v>58</v>
      </c>
      <c r="D187" s="26" t="s">
        <v>337</v>
      </c>
      <c r="E187" s="63">
        <v>0</v>
      </c>
      <c r="F187" s="63">
        <v>0</v>
      </c>
      <c r="G187" s="63">
        <v>0</v>
      </c>
      <c r="H187" s="63">
        <v>0</v>
      </c>
      <c r="I187" s="63">
        <v>0</v>
      </c>
      <c r="J187" s="63">
        <v>0</v>
      </c>
      <c r="K187" s="63">
        <v>0</v>
      </c>
      <c r="L187" s="63">
        <v>0</v>
      </c>
      <c r="M187" s="63">
        <v>0</v>
      </c>
      <c r="N187" s="63">
        <v>0</v>
      </c>
      <c r="O187" s="63">
        <v>0</v>
      </c>
      <c r="P187" s="63">
        <v>0</v>
      </c>
      <c r="Q187" s="41">
        <f>SUM(E187:P187)</f>
        <v>0</v>
      </c>
      <c r="R187" s="61">
        <v>0</v>
      </c>
      <c r="U187" s="35"/>
      <c r="V187" s="40">
        <f t="shared" si="11"/>
        <v>0</v>
      </c>
    </row>
    <row r="188" spans="1:22" s="3" customFormat="1" ht="25.4" hidden="1" customHeight="1">
      <c r="A188" s="254" t="s">
        <v>618</v>
      </c>
      <c r="B188" s="51" t="s">
        <v>58</v>
      </c>
      <c r="D188" s="3" t="s">
        <v>339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41">
        <f t="shared" ref="Q188:Q193" si="21">SUM(E188:P188)</f>
        <v>0</v>
      </c>
      <c r="R188" s="61">
        <v>0</v>
      </c>
      <c r="U188" s="35"/>
      <c r="V188" s="40">
        <f t="shared" si="11"/>
        <v>0</v>
      </c>
    </row>
    <row r="189" spans="1:22" s="3" customFormat="1" ht="25.4" hidden="1" customHeight="1">
      <c r="A189" s="254" t="s">
        <v>619</v>
      </c>
      <c r="B189" s="51" t="s">
        <v>58</v>
      </c>
      <c r="D189" s="26" t="s">
        <v>341</v>
      </c>
      <c r="E189" s="63">
        <v>0</v>
      </c>
      <c r="F189" s="63">
        <v>0</v>
      </c>
      <c r="G189" s="63">
        <v>0</v>
      </c>
      <c r="H189" s="63">
        <v>0</v>
      </c>
      <c r="I189" s="63">
        <v>0</v>
      </c>
      <c r="J189" s="63">
        <v>0</v>
      </c>
      <c r="K189" s="63">
        <v>0</v>
      </c>
      <c r="L189" s="63">
        <v>0</v>
      </c>
      <c r="M189" s="63">
        <v>0</v>
      </c>
      <c r="N189" s="63">
        <v>0</v>
      </c>
      <c r="O189" s="63">
        <v>0</v>
      </c>
      <c r="P189" s="63">
        <v>0</v>
      </c>
      <c r="Q189" s="41">
        <f t="shared" si="21"/>
        <v>0</v>
      </c>
      <c r="R189" s="61">
        <v>0</v>
      </c>
      <c r="U189" s="35"/>
      <c r="V189" s="40">
        <f t="shared" si="11"/>
        <v>0</v>
      </c>
    </row>
    <row r="190" spans="1:22" s="3" customFormat="1" ht="25.4" hidden="1" customHeight="1">
      <c r="A190" s="254" t="s">
        <v>620</v>
      </c>
      <c r="B190" s="51" t="s">
        <v>58</v>
      </c>
      <c r="D190" s="26" t="s">
        <v>343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41">
        <f t="shared" si="21"/>
        <v>0</v>
      </c>
      <c r="R190" s="61">
        <v>0</v>
      </c>
      <c r="U190" s="35"/>
      <c r="V190" s="40">
        <f t="shared" si="11"/>
        <v>0</v>
      </c>
    </row>
    <row r="191" spans="1:22" s="3" customFormat="1" ht="25.4" customHeight="1">
      <c r="A191" s="254" t="s">
        <v>621</v>
      </c>
      <c r="B191" s="51" t="s">
        <v>58</v>
      </c>
      <c r="D191" s="26" t="s">
        <v>345</v>
      </c>
      <c r="E191" s="63">
        <v>1080</v>
      </c>
      <c r="F191" s="63">
        <v>1440</v>
      </c>
      <c r="G191" s="63">
        <v>1080</v>
      </c>
      <c r="H191" s="63">
        <v>1080</v>
      </c>
      <c r="I191" s="63">
        <v>1080</v>
      </c>
      <c r="J191" s="63">
        <v>1080</v>
      </c>
      <c r="K191" s="63">
        <v>1080</v>
      </c>
      <c r="L191" s="63">
        <v>1080</v>
      </c>
      <c r="M191" s="63">
        <v>1080</v>
      </c>
      <c r="N191" s="63">
        <v>1080</v>
      </c>
      <c r="O191" s="63">
        <v>1080</v>
      </c>
      <c r="P191" s="63">
        <v>1080</v>
      </c>
      <c r="Q191" s="41">
        <f t="shared" si="21"/>
        <v>13320</v>
      </c>
      <c r="R191" s="61">
        <v>42861.38</v>
      </c>
      <c r="S191" s="39">
        <f>Q191/Summary!$Q$16</f>
        <v>1.672311412387414E-4</v>
      </c>
      <c r="T191" s="39"/>
      <c r="U191" s="35"/>
      <c r="V191" s="40" t="e">
        <f t="shared" si="11"/>
        <v>#DIV/0!</v>
      </c>
    </row>
    <row r="192" spans="1:22" s="3" customFormat="1" ht="25.4" customHeight="1">
      <c r="A192" s="254" t="s">
        <v>346</v>
      </c>
      <c r="B192" s="51" t="s">
        <v>58</v>
      </c>
      <c r="D192" s="26" t="s">
        <v>347</v>
      </c>
      <c r="E192" s="63">
        <v>6403.1399999999976</v>
      </c>
      <c r="F192" s="63">
        <v>6377.94</v>
      </c>
      <c r="G192" s="63">
        <v>6352.9199999999973</v>
      </c>
      <c r="H192" s="63">
        <v>6328.0800000000027</v>
      </c>
      <c r="I192" s="63">
        <v>6159.78</v>
      </c>
      <c r="J192" s="63">
        <v>6067.44</v>
      </c>
      <c r="K192" s="63">
        <v>5955.8400000000011</v>
      </c>
      <c r="L192" s="63">
        <v>5955.8400000000011</v>
      </c>
      <c r="M192" s="63">
        <v>5912.4600000000028</v>
      </c>
      <c r="N192" s="63">
        <v>5869.6200000000008</v>
      </c>
      <c r="O192" s="63">
        <v>5848.3799999999992</v>
      </c>
      <c r="P192" s="63">
        <v>5827.3199999999979</v>
      </c>
      <c r="Q192" s="41">
        <f t="shared" si="21"/>
        <v>73058.759999999995</v>
      </c>
      <c r="R192" s="61">
        <v>11767.74</v>
      </c>
      <c r="S192" s="39">
        <f>Q192/Summary!$Q$16</f>
        <v>9.1724473065220042E-4</v>
      </c>
      <c r="T192" s="39"/>
      <c r="U192" s="35"/>
      <c r="V192" s="40" t="e">
        <f t="shared" si="11"/>
        <v>#DIV/0!</v>
      </c>
    </row>
    <row r="193" spans="1:22" s="3" customFormat="1" ht="25.4" customHeight="1">
      <c r="A193" s="3" t="s">
        <v>624</v>
      </c>
      <c r="B193" s="51" t="s">
        <v>58</v>
      </c>
      <c r="D193" s="26" t="s">
        <v>349</v>
      </c>
      <c r="E193" s="63">
        <v>18958.5</v>
      </c>
      <c r="F193" s="63">
        <v>18646.019999999997</v>
      </c>
      <c r="G193" s="63">
        <v>18402.480000000003</v>
      </c>
      <c r="H193" s="63">
        <v>18485.639999999996</v>
      </c>
      <c r="I193" s="63">
        <v>18111.059999999998</v>
      </c>
      <c r="J193" s="63">
        <v>17794.980000000003</v>
      </c>
      <c r="K193" s="63">
        <v>17651.339999999997</v>
      </c>
      <c r="L193" s="63">
        <v>17683.559999999998</v>
      </c>
      <c r="M193" s="63">
        <v>17755.199999999997</v>
      </c>
      <c r="N193" s="63">
        <v>17886.779999999992</v>
      </c>
      <c r="O193" s="63">
        <v>17668.440000000002</v>
      </c>
      <c r="P193" s="63">
        <v>17611.559999999998</v>
      </c>
      <c r="Q193" s="41">
        <f t="shared" si="21"/>
        <v>216655.55999999997</v>
      </c>
      <c r="R193" s="61">
        <v>260453.69</v>
      </c>
      <c r="S193" s="39">
        <f>Q193/Summary!$Q$16</f>
        <v>2.7200868284173126E-3</v>
      </c>
      <c r="T193" s="39"/>
      <c r="U193" s="35"/>
      <c r="V193" s="40" t="e">
        <f t="shared" si="11"/>
        <v>#DIV/0!</v>
      </c>
    </row>
    <row r="194" spans="1:22" s="3" customFormat="1" ht="25.4" customHeight="1">
      <c r="A194" s="54"/>
      <c r="B194" s="51"/>
      <c r="D194" s="19" t="s">
        <v>350</v>
      </c>
      <c r="E194" s="52">
        <f>SUM(E187:E193)</f>
        <v>26441.64</v>
      </c>
      <c r="F194" s="52">
        <f t="shared" ref="F194:P194" si="22">SUM(F187:F193)</f>
        <v>26463.959999999995</v>
      </c>
      <c r="G194" s="52">
        <f t="shared" si="22"/>
        <v>25835.4</v>
      </c>
      <c r="H194" s="52">
        <f t="shared" si="22"/>
        <v>25893.719999999998</v>
      </c>
      <c r="I194" s="52">
        <f t="shared" si="22"/>
        <v>25350.839999999997</v>
      </c>
      <c r="J194" s="52">
        <f t="shared" si="22"/>
        <v>24942.420000000002</v>
      </c>
      <c r="K194" s="52">
        <f t="shared" si="22"/>
        <v>24687.179999999997</v>
      </c>
      <c r="L194" s="52">
        <f t="shared" si="22"/>
        <v>24719.399999999998</v>
      </c>
      <c r="M194" s="52">
        <f t="shared" si="22"/>
        <v>24747.66</v>
      </c>
      <c r="N194" s="52">
        <f t="shared" si="22"/>
        <v>24836.399999999994</v>
      </c>
      <c r="O194" s="52">
        <f t="shared" si="22"/>
        <v>24596.82</v>
      </c>
      <c r="P194" s="52">
        <f t="shared" si="22"/>
        <v>24518.879999999997</v>
      </c>
      <c r="Q194" s="52">
        <f t="shared" ref="Q194" si="23">SUM(Q187:Q193)</f>
        <v>303034.31999999995</v>
      </c>
      <c r="R194" s="52">
        <v>315082.81</v>
      </c>
      <c r="S194" s="39">
        <f>Q194/Summary!$Q$16</f>
        <v>3.8045627003082546E-3</v>
      </c>
      <c r="T194" s="39"/>
      <c r="U194" s="35"/>
      <c r="V194" s="40" t="e">
        <f t="shared" si="11"/>
        <v>#DIV/0!</v>
      </c>
    </row>
    <row r="195" spans="1:22" s="3" customFormat="1" ht="25.4" customHeight="1">
      <c r="A195" s="54"/>
      <c r="B195" s="51"/>
      <c r="D195" s="19" t="s">
        <v>351</v>
      </c>
      <c r="E195" s="52">
        <f>E166+E175+E185+E194</f>
        <v>241175.90000000002</v>
      </c>
      <c r="F195" s="52">
        <f t="shared" ref="F195:P195" si="24">F166+F175+F185+F194</f>
        <v>214908.56999999998</v>
      </c>
      <c r="G195" s="52">
        <f t="shared" si="24"/>
        <v>214280.00999999998</v>
      </c>
      <c r="H195" s="52">
        <f t="shared" si="24"/>
        <v>222225.21</v>
      </c>
      <c r="I195" s="52">
        <f t="shared" si="24"/>
        <v>226940.29</v>
      </c>
      <c r="J195" s="52">
        <f t="shared" si="24"/>
        <v>217287.03</v>
      </c>
      <c r="K195" s="52">
        <f t="shared" si="24"/>
        <v>217031.78999999998</v>
      </c>
      <c r="L195" s="52">
        <f t="shared" si="24"/>
        <v>217064.00999999998</v>
      </c>
      <c r="M195" s="52">
        <f t="shared" si="24"/>
        <v>217092.27</v>
      </c>
      <c r="N195" s="52">
        <f t="shared" si="24"/>
        <v>243470.66</v>
      </c>
      <c r="O195" s="52">
        <f t="shared" si="24"/>
        <v>213041.43</v>
      </c>
      <c r="P195" s="52">
        <f t="shared" si="24"/>
        <v>212963.49</v>
      </c>
      <c r="Q195" s="379">
        <f>Q166+Q175+Q185+Q194</f>
        <v>2657480.6599999997</v>
      </c>
      <c r="R195" s="52">
        <v>2277794</v>
      </c>
      <c r="S195" s="39">
        <f>Q195/Summary!$Q$16</f>
        <v>3.3364378648024301E-2</v>
      </c>
      <c r="T195" s="39"/>
      <c r="U195" s="35"/>
      <c r="V195" s="40" t="e">
        <f t="shared" si="11"/>
        <v>#DIV/0!</v>
      </c>
    </row>
    <row r="196" spans="1:22" s="3" customFormat="1" ht="25.4" customHeight="1">
      <c r="A196" s="54"/>
      <c r="B196" s="51"/>
      <c r="D196" s="21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3">
        <f>Q195-Q173-Q174</f>
        <v>2657480.6599999997</v>
      </c>
      <c r="U196" s="35"/>
      <c r="V196" s="40"/>
    </row>
    <row r="197" spans="1:22" s="3" customFormat="1" ht="25.4" customHeight="1">
      <c r="A197" s="254" t="s">
        <v>108</v>
      </c>
      <c r="B197" s="51" t="s">
        <v>58</v>
      </c>
      <c r="D197" s="19" t="s">
        <v>354</v>
      </c>
      <c r="E197" s="277">
        <v>18</v>
      </c>
      <c r="F197" s="277">
        <v>18</v>
      </c>
      <c r="G197" s="277">
        <v>18</v>
      </c>
      <c r="H197" s="277">
        <v>18</v>
      </c>
      <c r="I197" s="277">
        <v>18</v>
      </c>
      <c r="J197" s="277">
        <v>18</v>
      </c>
      <c r="K197" s="277">
        <v>18</v>
      </c>
      <c r="L197" s="277">
        <v>18</v>
      </c>
      <c r="M197" s="277">
        <v>18</v>
      </c>
      <c r="N197" s="277">
        <v>18</v>
      </c>
      <c r="O197" s="277">
        <v>18</v>
      </c>
      <c r="P197" s="277">
        <v>18</v>
      </c>
      <c r="Q197" s="65">
        <f>SUM(E197:P197)/12</f>
        <v>18</v>
      </c>
      <c r="R197" s="65">
        <v>20.5</v>
      </c>
      <c r="U197" s="35"/>
      <c r="V197" s="40" t="e">
        <f t="shared" si="11"/>
        <v>#DIV/0!</v>
      </c>
    </row>
    <row r="199" spans="1:22" ht="26.25" customHeight="1">
      <c r="P199" s="231" t="s">
        <v>1060</v>
      </c>
      <c r="Q199" s="232">
        <f>+Q166+Q175</f>
        <v>1837716.02</v>
      </c>
    </row>
    <row r="200" spans="1:22" ht="26.25" customHeight="1">
      <c r="P200" s="231" t="s">
        <v>788</v>
      </c>
      <c r="Q200" s="232">
        <f>+Q185+Q194</f>
        <v>819764.6399999999</v>
      </c>
    </row>
    <row r="201" spans="1:22" ht="26.25" customHeight="1">
      <c r="P201" s="174"/>
      <c r="Q201" s="232">
        <f>+Q199+Q200-Q195</f>
        <v>0</v>
      </c>
    </row>
  </sheetData>
  <phoneticPr fontId="56" type="noConversion"/>
  <dataValidations count="46">
    <dataValidation type="textLength" errorStyle="information" allowBlank="1" showInputMessage="1" showErrorMessage="1" error="XLBVal:6=241822.58_x000d__x000a_" sqref="I160">
      <formula1>0</formula1>
      <formula2>300</formula2>
    </dataValidation>
    <dataValidation type="textLength" errorStyle="information" allowBlank="1" showInputMessage="1" showErrorMessage="1" error="XLBVal:6=250.25_x000d__x000a_" sqref="E26:P26">
      <formula1>0</formula1>
      <formula2>300</formula2>
    </dataValidation>
    <dataValidation type="textLength" errorStyle="information" allowBlank="1" showInputMessage="1" showErrorMessage="1" error="XLBVal:6=3483281.81_x000d__x000a_" sqref="Q160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38928.23_x000d__x000a_" sqref="E12:P12">
      <formula1>0</formula1>
      <formula2>300</formula2>
    </dataValidation>
    <dataValidation type="textLength" errorStyle="information" allowBlank="1" showInputMessage="1" showErrorMessage="1" error="XLBVal:6=5826395_x000d__x000a_" sqref="Q12">
      <formula1>0</formula1>
      <formula2>300</formula2>
    </dataValidation>
    <dataValidation type="textLength" errorStyle="information" allowBlank="1" showInputMessage="1" showErrorMessage="1" error="XLBVal:2=0_x000d__x000a_" sqref="R12 E51:P68 Q72 Q157:R157 M160:P160 R160 R197 E71:Q71 Q15:Q70 Q74:Q156 R15:R156 E184:P184 R177:R184 Q187:R193 Q164:R165 R168:R174 F13 E15:P25 E187:P192 E171:P174 E73:Q73 E74:P77 E103:P103 E79:P101 E27:P42 E44:P49">
      <formula1>0</formula1>
      <formula2>300</formula2>
    </dataValidation>
    <dataValidation type="textLength" errorStyle="information" allowBlank="1" showInputMessage="1" showErrorMessage="1" error="XLBVal:6=194683.06_x000d__x000a_" sqref="E160">
      <formula1>0</formula1>
      <formula2>300</formula2>
    </dataValidation>
    <dataValidation type="textLength" errorStyle="information" allowBlank="1" showInputMessage="1" showErrorMessage="1" error="XLBVal:6=745_x000d__x000a_" sqref="E43:P43">
      <formula1>0</formula1>
      <formula2>300</formula2>
    </dataValidation>
    <dataValidation type="textLength" errorStyle="information" allowBlank="1" showInputMessage="1" showErrorMessage="1" error="XLBVal:6=26064.42_x000d__x000a_" sqref="E102:P102 E104:P157">
      <formula1>0</formula1>
      <formula2>300</formula2>
    </dataValidation>
    <dataValidation type="textLength" errorStyle="information" allowBlank="1" showInputMessage="1" showErrorMessage="1" error="XLBVal:6=68.2_x000d__x000a_" sqref="E50:P50">
      <formula1>0</formula1>
      <formula2>300</formula2>
    </dataValidation>
    <dataValidation type="textLength" errorStyle="information" allowBlank="1" showInputMessage="1" showErrorMessage="1" error="XLBVal:6=1992.55_x000d__x000a_" sqref="E69:P69">
      <formula1>0</formula1>
      <formula2>300</formula2>
    </dataValidation>
    <dataValidation type="textLength" errorStyle="information" allowBlank="1" showInputMessage="1" showErrorMessage="1" error="XLBVal:6=2510_x000d__x000a_" sqref="E70:P70">
      <formula1>0</formula1>
      <formula2>300</formula2>
    </dataValidation>
    <dataValidation type="textLength" errorStyle="information" allowBlank="1" showInputMessage="1" showErrorMessage="1" error="XLBVal:6=1053.9_x000d__x000a_" sqref="E72:P72">
      <formula1>0</formula1>
      <formula2>300</formula2>
    </dataValidation>
    <dataValidation type="textLength" errorStyle="information" allowBlank="1" showInputMessage="1" showErrorMessage="1" error="XLBVal:6=0_x000d__x000a_" sqref="E158:R158 E78:P78">
      <formula1>0</formula1>
      <formula2>300</formula2>
    </dataValidation>
    <dataValidation type="textLength" errorStyle="information" allowBlank="1" showInputMessage="1" showErrorMessage="1" error="XLBVal:6=3239.86_x000d__x000a_" sqref="E159:R159">
      <formula1>0</formula1>
      <formula2>300</formula2>
    </dataValidation>
    <dataValidation type="textLength" errorStyle="information" allowBlank="1" showInputMessage="1" showErrorMessage="1" error="XLBVal:6=239105.38_x000d__x000a_" sqref="F160">
      <formula1>0</formula1>
      <formula2>300</formula2>
    </dataValidation>
    <dataValidation type="textLength" errorStyle="information" allowBlank="1" showInputMessage="1" showErrorMessage="1" error="XLBVal:6=234413.07_x000d__x000a_" sqref="G160">
      <formula1>0</formula1>
      <formula2>300</formula2>
    </dataValidation>
    <dataValidation type="textLength" errorStyle="information" allowBlank="1" showInputMessage="1" showErrorMessage="1" error="XLBVal:6=507528_x000d__x000a_" sqref="Q177:Q184">
      <formula1>0</formula1>
      <formula2>300</formula2>
    </dataValidation>
    <dataValidation type="textLength" errorStyle="information" allowBlank="1" showInputMessage="1" showErrorMessage="1" error="XLBVal:6=238322.58_x000d__x000a_" sqref="H160">
      <formula1>0</formula1>
      <formula2>300</formula2>
    </dataValidation>
    <dataValidation type="textLength" errorStyle="information" allowBlank="1" showInputMessage="1" showErrorMessage="1" error="XLBVal:6=236345.2_x000d__x000a_" sqref="J160">
      <formula1>0</formula1>
      <formula2>300</formula2>
    </dataValidation>
    <dataValidation type="textLength" errorStyle="information" allowBlank="1" showInputMessage="1" showErrorMessage="1" error="XLBVal:6=242172.69_x000d__x000a_" sqref="K160">
      <formula1>0</formula1>
      <formula2>300</formula2>
    </dataValidation>
    <dataValidation type="textLength" errorStyle="information" allowBlank="1" showInputMessage="1" showErrorMessage="1" error="XLBVal:6=282812.69_x000d__x000a_" sqref="L160">
      <formula1>0</formula1>
      <formula2>300</formula2>
    </dataValidation>
    <dataValidation type="textLength" errorStyle="information" allowBlank="1" showInputMessage="1" showErrorMessage="1" sqref="E162:E163 F162:I162 E194:P196 Q194:R195 F163:P163">
      <formula1>0</formula1>
      <formula2>300</formula2>
    </dataValidation>
    <dataValidation type="textLength" errorStyle="information" allowBlank="1" showInputMessage="1" showErrorMessage="1" error="XLBVal:6=3678_x000d__x000a_" sqref="Q185:R185 E185:P186">
      <formula1>0</formula1>
      <formula2>300</formula2>
    </dataValidation>
    <dataValidation type="textLength" errorStyle="information" allowBlank="1" showInputMessage="1" showErrorMessage="1" error="XLBVal:6=130847_x000d__x000a_" sqref="Q168:Q174">
      <formula1>0</formula1>
      <formula2>300</formula2>
    </dataValidation>
    <dataValidation type="textLength" errorStyle="information" allowBlank="1" showInputMessage="1" showErrorMessage="1" error="XLBVal:5=15426.66_x000d__x000a_" sqref="I13">
      <formula1>0</formula1>
      <formula2>300</formula2>
    </dataValidation>
    <dataValidation type="textLength" errorStyle="information" allowBlank="1" showInputMessage="1" showErrorMessage="1" error="XLBVal:6=25_x000d__x000a_" sqref="Q197">
      <formula1>0</formula1>
      <formula2>300</formula2>
    </dataValidation>
    <dataValidation type="textLength" errorStyle="information" allowBlank="1" showInputMessage="1" showErrorMessage="1" error="XLBVal:6=6688509.16_x000d__x000a_" sqref="E13:E14 F14:P14">
      <formula1>0</formula1>
      <formula2>300</formula2>
    </dataValidation>
    <dataValidation type="textLength" errorStyle="information" allowBlank="1" showInputMessage="1" showErrorMessage="1" error="XLBVal:6=6595485.04_x000d__x000a_" sqref="G13">
      <formula1>0</formula1>
      <formula2>300</formula2>
    </dataValidation>
    <dataValidation type="textLength" errorStyle="information" allowBlank="1" showInputMessage="1" showErrorMessage="1" error="XLBVal:5=-2586288.67_x000d__x000a_" sqref="H13">
      <formula1>0</formula1>
      <formula2>300</formula2>
    </dataValidation>
    <dataValidation type="textLength" errorStyle="information" allowBlank="1" showInputMessage="1" showErrorMessage="1" error="XLBVal:6=1198.59_x000d__x000a_" sqref="E183:P183">
      <formula1>0</formula1>
      <formula2>300</formula2>
    </dataValidation>
    <dataValidation type="textLength" errorStyle="information" allowBlank="1" showInputMessage="1" showErrorMessage="1" error="XLBVal:6=547.66_x000d__x000a_" sqref="E181:P181">
      <formula1>0</formula1>
      <formula2>300</formula2>
    </dataValidation>
    <dataValidation type="textLength" errorStyle="information" allowBlank="1" showInputMessage="1" showErrorMessage="1" error="XLBVal:6=8_x000d__x000a_" sqref="E197:P197">
      <formula1>0</formula1>
      <formula2>300</formula2>
    </dataValidation>
    <dataValidation type="textLength" errorStyle="information" allowBlank="1" showInputMessage="1" showErrorMessage="1" error="XLBVal:6=5765.69_x000d__x000a_" sqref="E193:P193">
      <formula1>0</formula1>
      <formula2>300</formula2>
    </dataValidation>
    <dataValidation type="textLength" errorStyle="information" allowBlank="1" showInputMessage="1" showErrorMessage="1" error="XLBVal:6=330_x000d__x000a_" sqref="E170:P170">
      <formula1>0</formula1>
      <formula2>300</formula2>
    </dataValidation>
    <dataValidation type="textLength" errorStyle="information" allowBlank="1" showInputMessage="1" showErrorMessage="1" error="XLBVal:6=7045_x000d__x000a_" sqref="E182:P182">
      <formula1>0</formula1>
      <formula2>300</formula2>
    </dataValidation>
    <dataValidation type="textLength" errorStyle="information" allowBlank="1" showInputMessage="1" showErrorMessage="1" error="XLBVal:6=301_x000d__x000a_" sqref="E180:P180">
      <formula1>0</formula1>
      <formula2>300</formula2>
    </dataValidation>
    <dataValidation type="textLength" errorStyle="information" allowBlank="1" showInputMessage="1" showErrorMessage="1" error="XLBVal:6=349.69_x000d__x000a_" sqref="E179:P179">
      <formula1>0</formula1>
      <formula2>300</formula2>
    </dataValidation>
    <dataValidation type="textLength" errorStyle="information" allowBlank="1" showInputMessage="1" showErrorMessage="1" error="XLBVal:6=5476.56_x000d__x000a_" sqref="E178:P178">
      <formula1>0</formula1>
      <formula2>300</formula2>
    </dataValidation>
    <dataValidation type="textLength" errorStyle="information" allowBlank="1" showInputMessage="1" showErrorMessage="1" error="XLBVal:6=11189.76_x000d__x000a_" sqref="E177:P177">
      <formula1>0</formula1>
      <formula2>300</formula2>
    </dataValidation>
    <dataValidation type="textLength" errorStyle="information" allowBlank="1" showInputMessage="1" showErrorMessage="1" error="XLBVal:6=2999.99_x000d__x000a_" sqref="E168:P168">
      <formula1>0</formula1>
      <formula2>300</formula2>
    </dataValidation>
    <dataValidation type="textLength" errorStyle="information" allowBlank="1" showInputMessage="1" showErrorMessage="1" error="XLBVal:6=20600_x000d__x000a_" sqref="E165:P165">
      <formula1>0</formula1>
      <formula2>300</formula2>
    </dataValidation>
    <dataValidation type="textLength" errorStyle="information" allowBlank="1" showInputMessage="1" showErrorMessage="1" error="XLBVal:6=36000_x000d__x000a_" sqref="E164:P164">
      <formula1>0</formula1>
      <formula2>300</formula2>
    </dataValidation>
    <dataValidation type="textLength" errorStyle="information" allowBlank="1" showInputMessage="1" showErrorMessage="1" error="XLBVal:6=4716.65_x000d__x000a_" sqref="E169:P169">
      <formula1>0</formula1>
      <formula2>300</formula2>
    </dataValidation>
    <dataValidation type="textLength" errorStyle="information" allowBlank="1" showInputMessage="1" showErrorMessage="1" error="XLBVal:6=467_x000d__x000a_" sqref="P199:P20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44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DCB9FF"/>
  </sheetPr>
  <dimension ref="A1:Y50"/>
  <sheetViews>
    <sheetView topLeftCell="A10" zoomScale="50" zoomScaleNormal="50" zoomScaleSheetLayoutView="55" workbookViewId="0">
      <pane xSplit="4" topLeftCell="E1" activePane="topRight" state="frozen"/>
      <selection activeCell="E72" sqref="E72"/>
      <selection pane="topRight" activeCell="E37" sqref="E37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57.453125" style="6" customWidth="1" collapsed="1"/>
    <col min="5" max="9" width="25.453125" style="7" customWidth="1"/>
    <col min="10" max="17" width="25.453125" style="5" customWidth="1"/>
    <col min="18" max="18" width="16.453125" style="5" customWidth="1"/>
    <col min="19" max="19" width="16.453125" style="5" hidden="1" customWidth="1"/>
    <col min="20" max="20" width="22.453125" style="8" hidden="1" customWidth="1"/>
    <col min="21" max="21" width="22.453125" style="5" hidden="1" customWidth="1"/>
    <col min="22" max="23" width="22.90625" style="5" customWidth="1"/>
    <col min="24" max="24" width="10.36328125" style="5" bestFit="1" customWidth="1"/>
    <col min="25" max="25" width="16.08984375" style="5" bestFit="1" customWidth="1"/>
    <col min="26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</row>
    <row r="4" spans="1:21" s="2" customFormat="1" ht="25.4" customHeight="1">
      <c r="D4" s="14" t="s">
        <v>15</v>
      </c>
      <c r="E4" s="11"/>
      <c r="F4" s="11"/>
      <c r="G4" s="12"/>
      <c r="H4" s="13"/>
      <c r="I4" s="13"/>
      <c r="T4" s="33"/>
    </row>
    <row r="5" spans="1:21" s="2" customFormat="1" ht="25.4" customHeight="1">
      <c r="D5" s="14" t="s">
        <v>16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1013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2024</v>
      </c>
      <c r="S9" s="34"/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4" t="s">
        <v>22</v>
      </c>
      <c r="T10" s="36" t="s">
        <v>23</v>
      </c>
      <c r="U10" s="37" t="s">
        <v>24</v>
      </c>
    </row>
    <row r="11" spans="1:21" s="3" customFormat="1" ht="25.4" customHeight="1">
      <c r="D11" s="21"/>
      <c r="E11" s="70"/>
      <c r="F11" s="70"/>
      <c r="G11" s="70"/>
      <c r="H11" s="71"/>
      <c r="I11" s="71"/>
      <c r="T11" s="35"/>
    </row>
    <row r="12" spans="1:21" s="3" customFormat="1" ht="25.4" customHeight="1">
      <c r="D12" s="21" t="s">
        <v>140</v>
      </c>
      <c r="E12" s="24"/>
      <c r="F12" s="24"/>
      <c r="G12" s="24"/>
      <c r="H12" s="25"/>
      <c r="I12" s="25"/>
      <c r="T12" s="35"/>
    </row>
    <row r="13" spans="1:21" s="3" customFormat="1" ht="25.4" customHeight="1">
      <c r="A13" s="3" t="s">
        <v>880</v>
      </c>
      <c r="B13" s="3" t="s">
        <v>60</v>
      </c>
      <c r="D13" s="26" t="s">
        <v>881</v>
      </c>
      <c r="E13" s="43">
        <v>420000</v>
      </c>
      <c r="F13" s="43">
        <v>440000</v>
      </c>
      <c r="G13" s="43">
        <v>415000</v>
      </c>
      <c r="H13" s="43">
        <v>455000</v>
      </c>
      <c r="I13" s="43">
        <v>505000</v>
      </c>
      <c r="J13" s="43">
        <v>525000</v>
      </c>
      <c r="K13" s="43">
        <v>555000</v>
      </c>
      <c r="L13" s="43">
        <v>550000</v>
      </c>
      <c r="M13" s="43">
        <v>515000</v>
      </c>
      <c r="N13" s="43">
        <v>525000</v>
      </c>
      <c r="O13" s="43">
        <v>445000</v>
      </c>
      <c r="P13" s="43">
        <v>445000</v>
      </c>
      <c r="Q13" s="43">
        <f>SUM(E13:P13)</f>
        <v>5795000</v>
      </c>
      <c r="R13" s="39">
        <f>Q13/Summary!$Q$16</f>
        <v>7.2755590351239227E-2</v>
      </c>
      <c r="S13" s="39"/>
      <c r="T13" s="35"/>
      <c r="U13" s="40" t="e">
        <f t="shared" ref="U13:U19" si="0">-IF(Q13-T13=0,0,(Q13-T13)/T13)</f>
        <v>#DIV/0!</v>
      </c>
    </row>
    <row r="14" spans="1:21" s="3" customFormat="1" ht="25.4" customHeight="1">
      <c r="A14" s="3" t="s">
        <v>882</v>
      </c>
      <c r="B14" s="3" t="s">
        <v>60</v>
      </c>
      <c r="D14" s="26" t="s">
        <v>883</v>
      </c>
      <c r="E14" s="43">
        <v>100000</v>
      </c>
      <c r="F14" s="43">
        <v>100000</v>
      </c>
      <c r="G14" s="43">
        <v>53000</v>
      </c>
      <c r="H14" s="43">
        <v>52000</v>
      </c>
      <c r="I14" s="43">
        <v>53000</v>
      </c>
      <c r="J14" s="43">
        <v>50000</v>
      </c>
      <c r="K14" s="43">
        <v>54000</v>
      </c>
      <c r="L14" s="43">
        <v>54000</v>
      </c>
      <c r="M14" s="43">
        <v>48000</v>
      </c>
      <c r="N14" s="43">
        <v>55000</v>
      </c>
      <c r="O14" s="43">
        <v>56000</v>
      </c>
      <c r="P14" s="43">
        <v>80000</v>
      </c>
      <c r="Q14" s="43">
        <f>SUM(E14:P14)</f>
        <v>755000</v>
      </c>
      <c r="R14" s="39">
        <f>Q14/Summary!$Q$16</f>
        <v>9.47894231495869E-3</v>
      </c>
      <c r="S14" s="39"/>
      <c r="T14" s="35"/>
      <c r="U14" s="40" t="e">
        <f t="shared" si="0"/>
        <v>#DIV/0!</v>
      </c>
    </row>
    <row r="15" spans="1:21" s="3" customFormat="1" ht="25.4" customHeight="1">
      <c r="A15" s="3" t="s">
        <v>884</v>
      </c>
      <c r="B15" s="3" t="s">
        <v>60</v>
      </c>
      <c r="D15" s="26" t="s">
        <v>885</v>
      </c>
      <c r="E15" s="63"/>
      <c r="F15" s="63"/>
      <c r="G15" s="63"/>
      <c r="H15" s="63"/>
      <c r="I15" s="63"/>
      <c r="J15" s="63"/>
      <c r="K15" s="63"/>
      <c r="L15" s="63"/>
      <c r="M15" s="63"/>
      <c r="N15" s="43">
        <v>0</v>
      </c>
      <c r="O15" s="43">
        <v>0</v>
      </c>
      <c r="P15" s="43">
        <v>0</v>
      </c>
      <c r="Q15" s="43">
        <f>SUM(E15:P15)</f>
        <v>0</v>
      </c>
      <c r="R15" s="39">
        <f>Q15/Summary!$Q$16</f>
        <v>0</v>
      </c>
      <c r="S15" s="39"/>
      <c r="T15" s="35"/>
      <c r="U15" s="40">
        <f t="shared" si="0"/>
        <v>0</v>
      </c>
    </row>
    <row r="16" spans="1:21" s="3" customFormat="1" ht="25.4" customHeight="1">
      <c r="A16" s="3" t="s">
        <v>886</v>
      </c>
      <c r="B16" s="3" t="s">
        <v>60</v>
      </c>
      <c r="D16" s="72" t="s">
        <v>887</v>
      </c>
      <c r="E16" s="43">
        <v>60000</v>
      </c>
      <c r="F16" s="43">
        <v>60000</v>
      </c>
      <c r="G16" s="43">
        <v>60000</v>
      </c>
      <c r="H16" s="43">
        <v>60000</v>
      </c>
      <c r="I16" s="43">
        <v>60000</v>
      </c>
      <c r="J16" s="43">
        <v>60000</v>
      </c>
      <c r="K16" s="43">
        <v>60000</v>
      </c>
      <c r="L16" s="43">
        <v>60000</v>
      </c>
      <c r="M16" s="43">
        <v>60000</v>
      </c>
      <c r="N16" s="43">
        <v>60000</v>
      </c>
      <c r="O16" s="43">
        <v>60000</v>
      </c>
      <c r="P16" s="43">
        <v>60000</v>
      </c>
      <c r="Q16" s="43">
        <f>SUM(E16:P16)</f>
        <v>720000</v>
      </c>
      <c r="R16" s="39">
        <f>Q16/Summary!$Q$16</f>
        <v>9.039521148040075E-3</v>
      </c>
      <c r="S16" s="39"/>
      <c r="T16" s="35"/>
      <c r="U16" s="40" t="e">
        <f t="shared" si="0"/>
        <v>#DIV/0!</v>
      </c>
    </row>
    <row r="17" spans="1:25" s="3" customFormat="1" ht="25.4" customHeight="1">
      <c r="A17" s="3" t="s">
        <v>888</v>
      </c>
      <c r="B17" s="3" t="s">
        <v>60</v>
      </c>
      <c r="D17" s="26" t="s">
        <v>889</v>
      </c>
      <c r="E17" s="63">
        <v>1200</v>
      </c>
      <c r="F17" s="63">
        <v>1200</v>
      </c>
      <c r="G17" s="63">
        <v>1200</v>
      </c>
      <c r="H17" s="63">
        <v>1200</v>
      </c>
      <c r="I17" s="63">
        <v>1200</v>
      </c>
      <c r="J17" s="63">
        <v>1200</v>
      </c>
      <c r="K17" s="63">
        <v>1200</v>
      </c>
      <c r="L17" s="63">
        <v>1200</v>
      </c>
      <c r="M17" s="63">
        <v>1200</v>
      </c>
      <c r="N17" s="63">
        <v>1200</v>
      </c>
      <c r="O17" s="63">
        <v>1200</v>
      </c>
      <c r="P17" s="63">
        <v>1200</v>
      </c>
      <c r="Q17" s="43">
        <f>SUM(E17:P17)</f>
        <v>14400</v>
      </c>
      <c r="R17" s="39">
        <f>Q17/Summary!$Q$16</f>
        <v>1.8079042296080151E-4</v>
      </c>
      <c r="S17" s="39"/>
      <c r="T17" s="35"/>
      <c r="U17" s="40" t="e">
        <f t="shared" si="0"/>
        <v>#DIV/0!</v>
      </c>
    </row>
    <row r="18" spans="1:25" s="19" customFormat="1" ht="25.4" customHeight="1">
      <c r="D18" s="21" t="s">
        <v>1014</v>
      </c>
      <c r="E18" s="45">
        <f>SUM(E13:E17)</f>
        <v>581200</v>
      </c>
      <c r="F18" s="45">
        <f t="shared" ref="F18:Q18" si="1">SUM(F13:F17)</f>
        <v>601200</v>
      </c>
      <c r="G18" s="45">
        <f t="shared" si="1"/>
        <v>529200</v>
      </c>
      <c r="H18" s="45">
        <f t="shared" si="1"/>
        <v>568200</v>
      </c>
      <c r="I18" s="45">
        <f t="shared" si="1"/>
        <v>619200</v>
      </c>
      <c r="J18" s="45">
        <f t="shared" si="1"/>
        <v>636200</v>
      </c>
      <c r="K18" s="45">
        <f t="shared" si="1"/>
        <v>670200</v>
      </c>
      <c r="L18" s="45">
        <f t="shared" si="1"/>
        <v>665200</v>
      </c>
      <c r="M18" s="45">
        <f t="shared" si="1"/>
        <v>624200</v>
      </c>
      <c r="N18" s="45">
        <f t="shared" si="1"/>
        <v>641200</v>
      </c>
      <c r="O18" s="45">
        <f t="shared" si="1"/>
        <v>562200</v>
      </c>
      <c r="P18" s="45">
        <f t="shared" si="1"/>
        <v>586200</v>
      </c>
      <c r="Q18" s="369">
        <f t="shared" si="1"/>
        <v>7284400</v>
      </c>
      <c r="R18" s="39">
        <f>Q18/Summary!$Q$16</f>
        <v>9.1454844237198796E-2</v>
      </c>
      <c r="S18" s="39"/>
      <c r="T18" s="35"/>
      <c r="U18" s="40" t="e">
        <f t="shared" si="0"/>
        <v>#DIV/0!</v>
      </c>
    </row>
    <row r="19" spans="1:25" s="19" customFormat="1" ht="25.4" customHeight="1">
      <c r="D19" s="21"/>
      <c r="E19" s="62"/>
      <c r="F19" s="62"/>
      <c r="G19" s="62"/>
      <c r="H19" s="62"/>
      <c r="I19" s="62"/>
      <c r="S19" s="39"/>
      <c r="T19" s="35"/>
      <c r="U19" s="40">
        <f t="shared" si="0"/>
        <v>0</v>
      </c>
    </row>
    <row r="20" spans="1:25" s="19" customFormat="1" ht="25.4" customHeight="1">
      <c r="D20" s="21" t="s">
        <v>1015</v>
      </c>
      <c r="E20" s="62"/>
      <c r="F20" s="62"/>
      <c r="G20" s="62"/>
      <c r="H20" s="62"/>
      <c r="I20" s="62"/>
      <c r="T20" s="35"/>
      <c r="U20" s="40"/>
      <c r="V20" s="370"/>
    </row>
    <row r="21" spans="1:25" s="19" customFormat="1" ht="25.4" customHeight="1">
      <c r="A21" s="3" t="s">
        <v>1016</v>
      </c>
      <c r="B21" s="19" t="s">
        <v>60</v>
      </c>
      <c r="D21" s="26" t="s">
        <v>1017</v>
      </c>
      <c r="E21" s="396">
        <f>E13/E31</f>
        <v>585937.5</v>
      </c>
      <c r="F21" s="396">
        <f t="shared" ref="F21:M22" si="2">F13/F31</f>
        <v>613839.28571428568</v>
      </c>
      <c r="G21" s="396">
        <f t="shared" si="2"/>
        <v>578962.05357142852</v>
      </c>
      <c r="H21" s="396">
        <f t="shared" si="2"/>
        <v>634765.625</v>
      </c>
      <c r="I21" s="396">
        <f t="shared" si="2"/>
        <v>704520.08928571432</v>
      </c>
      <c r="J21" s="396">
        <f t="shared" si="2"/>
        <v>732421.875</v>
      </c>
      <c r="K21" s="396">
        <f>K13/K31</f>
        <v>774274.55357142852</v>
      </c>
      <c r="L21" s="396">
        <f t="shared" si="2"/>
        <v>767299.10714285716</v>
      </c>
      <c r="M21" s="396">
        <f t="shared" si="2"/>
        <v>718470.98214285716</v>
      </c>
      <c r="N21" s="396">
        <f>N13/N31</f>
        <v>732421.875</v>
      </c>
      <c r="O21" s="396">
        <f>O13/O31</f>
        <v>620814.73214285716</v>
      </c>
      <c r="P21" s="396">
        <f>P13/P31</f>
        <v>620814.73214285716</v>
      </c>
      <c r="Q21" s="397">
        <f>SUM(E21:P21)</f>
        <v>8084542.4107142854</v>
      </c>
      <c r="T21" s="35"/>
      <c r="U21" s="40" t="e">
        <f t="shared" ref="U21:U27" si="3">IF(Q21-T21=0,0,(Q21-T21)/T21)</f>
        <v>#DIV/0!</v>
      </c>
      <c r="V21" s="371" t="s">
        <v>1240</v>
      </c>
      <c r="W21" s="19">
        <f>Q18</f>
        <v>7284400</v>
      </c>
    </row>
    <row r="22" spans="1:25" s="19" customFormat="1" ht="25.4" customHeight="1">
      <c r="A22" s="3" t="s">
        <v>1018</v>
      </c>
      <c r="B22" s="19" t="s">
        <v>60</v>
      </c>
      <c r="D22" s="26" t="s">
        <v>1019</v>
      </c>
      <c r="E22" s="396">
        <f>E14/E32</f>
        <v>26315.78947368421</v>
      </c>
      <c r="F22" s="396">
        <f t="shared" si="2"/>
        <v>26315.78947368421</v>
      </c>
      <c r="G22" s="396">
        <f t="shared" si="2"/>
        <v>13947.368421052632</v>
      </c>
      <c r="H22" s="396">
        <f t="shared" si="2"/>
        <v>13684.21052631579</v>
      </c>
      <c r="I22" s="396">
        <f t="shared" si="2"/>
        <v>13947.368421052632</v>
      </c>
      <c r="J22" s="396">
        <f t="shared" si="2"/>
        <v>13157.894736842105</v>
      </c>
      <c r="K22" s="396">
        <f t="shared" si="2"/>
        <v>14210.526315789475</v>
      </c>
      <c r="L22" s="396">
        <f t="shared" si="2"/>
        <v>14210.526315789475</v>
      </c>
      <c r="M22" s="396">
        <f t="shared" si="2"/>
        <v>12631.578947368422</v>
      </c>
      <c r="N22" s="396">
        <v>14736.842105263158</v>
      </c>
      <c r="O22" s="396">
        <v>17421.052631578947</v>
      </c>
      <c r="P22" s="396">
        <v>15631.578947368422</v>
      </c>
      <c r="Q22" s="397">
        <f>SUM(E22:P22)</f>
        <v>196210.5263157895</v>
      </c>
      <c r="T22" s="35"/>
      <c r="U22" s="40" t="e">
        <f t="shared" si="3"/>
        <v>#DIV/0!</v>
      </c>
      <c r="V22" s="371" t="s">
        <v>1241</v>
      </c>
      <c r="W22" s="19">
        <v>1200000</v>
      </c>
      <c r="X22" s="391">
        <f>W22/Q27</f>
        <v>1.5065868580066796E-2</v>
      </c>
    </row>
    <row r="23" spans="1:25" s="19" customFormat="1" ht="25.4" customHeight="1">
      <c r="A23" s="3" t="s">
        <v>1020</v>
      </c>
      <c r="B23" s="19" t="s">
        <v>60</v>
      </c>
      <c r="D23" s="26" t="s">
        <v>885</v>
      </c>
      <c r="E23" s="396"/>
      <c r="F23" s="396"/>
      <c r="G23" s="396"/>
      <c r="H23" s="396"/>
      <c r="I23" s="396"/>
      <c r="J23" s="396" t="s">
        <v>1126</v>
      </c>
      <c r="K23" s="396"/>
      <c r="L23" s="396"/>
      <c r="M23" s="396"/>
      <c r="N23" s="396">
        <v>0</v>
      </c>
      <c r="O23" s="396">
        <v>0</v>
      </c>
      <c r="P23" s="396">
        <v>0</v>
      </c>
      <c r="Q23" s="397">
        <f>SUM(E23:P23)</f>
        <v>0</v>
      </c>
      <c r="T23" s="35"/>
      <c r="U23" s="40">
        <f t="shared" si="3"/>
        <v>0</v>
      </c>
      <c r="V23" s="371" t="s">
        <v>1242</v>
      </c>
      <c r="W23" s="19">
        <f>W21-W22</f>
        <v>6084400</v>
      </c>
      <c r="X23" s="391">
        <f>W23/Q27</f>
        <v>7.6388975657132013E-2</v>
      </c>
    </row>
    <row r="24" spans="1:25" s="19" customFormat="1" ht="25.4" customHeight="1">
      <c r="A24" s="3" t="s">
        <v>1021</v>
      </c>
      <c r="B24" s="19" t="s">
        <v>60</v>
      </c>
      <c r="D24" s="26" t="s">
        <v>1022</v>
      </c>
      <c r="E24" s="396">
        <f>E16/E33</f>
        <v>16172.506738544475</v>
      </c>
      <c r="F24" s="396">
        <f t="shared" ref="F24:P25" si="4">F16/F33</f>
        <v>16172.506738544475</v>
      </c>
      <c r="G24" s="396">
        <f t="shared" si="4"/>
        <v>16172.506738544475</v>
      </c>
      <c r="H24" s="396">
        <f t="shared" si="4"/>
        <v>16172.506738544475</v>
      </c>
      <c r="I24" s="396">
        <f t="shared" si="4"/>
        <v>16172.506738544475</v>
      </c>
      <c r="J24" s="396">
        <f t="shared" si="4"/>
        <v>16172.506738544475</v>
      </c>
      <c r="K24" s="396">
        <f t="shared" si="4"/>
        <v>16172.506738544475</v>
      </c>
      <c r="L24" s="396">
        <f t="shared" si="4"/>
        <v>16172.506738544475</v>
      </c>
      <c r="M24" s="396">
        <f t="shared" si="4"/>
        <v>16172.506738544475</v>
      </c>
      <c r="N24" s="396">
        <f t="shared" si="4"/>
        <v>16172.506738544475</v>
      </c>
      <c r="O24" s="396">
        <f t="shared" si="4"/>
        <v>16172.506738544475</v>
      </c>
      <c r="P24" s="396">
        <f t="shared" si="4"/>
        <v>16172.506738544475</v>
      </c>
      <c r="Q24" s="397">
        <f>SUM(E24:P24)</f>
        <v>194070.08086253368</v>
      </c>
      <c r="T24" s="35"/>
      <c r="U24" s="40" t="e">
        <f t="shared" si="3"/>
        <v>#DIV/0!</v>
      </c>
      <c r="V24" s="371" t="s">
        <v>1243</v>
      </c>
      <c r="W24" s="19">
        <f>W21/365</f>
        <v>19957.260273972603</v>
      </c>
    </row>
    <row r="25" spans="1:25" s="3" customFormat="1" ht="25.4" customHeight="1">
      <c r="A25" s="3" t="s">
        <v>1023</v>
      </c>
      <c r="B25" s="3" t="s">
        <v>60</v>
      </c>
      <c r="D25" s="26" t="s">
        <v>1244</v>
      </c>
      <c r="E25" s="396">
        <f>E17/E34</f>
        <v>160</v>
      </c>
      <c r="F25" s="396">
        <f t="shared" si="4"/>
        <v>160</v>
      </c>
      <c r="G25" s="396">
        <f t="shared" si="4"/>
        <v>160</v>
      </c>
      <c r="H25" s="396">
        <f t="shared" si="4"/>
        <v>160</v>
      </c>
      <c r="I25" s="396">
        <f t="shared" si="4"/>
        <v>160</v>
      </c>
      <c r="J25" s="396">
        <f t="shared" si="4"/>
        <v>160</v>
      </c>
      <c r="K25" s="396">
        <f t="shared" si="4"/>
        <v>160</v>
      </c>
      <c r="L25" s="396">
        <f t="shared" si="4"/>
        <v>160</v>
      </c>
      <c r="M25" s="396">
        <f t="shared" si="4"/>
        <v>160</v>
      </c>
      <c r="N25" s="396">
        <f t="shared" si="4"/>
        <v>160</v>
      </c>
      <c r="O25" s="396">
        <f t="shared" si="4"/>
        <v>160</v>
      </c>
      <c r="P25" s="396">
        <f t="shared" si="4"/>
        <v>160</v>
      </c>
      <c r="Q25" s="397">
        <f>SUM(E25:P25)</f>
        <v>1920</v>
      </c>
      <c r="T25" s="35"/>
      <c r="U25" s="40" t="e">
        <f t="shared" si="3"/>
        <v>#DIV/0!</v>
      </c>
      <c r="V25" s="137"/>
    </row>
    <row r="26" spans="1:25" s="3" customFormat="1" ht="25.4" customHeight="1">
      <c r="B26" s="51"/>
      <c r="D26" s="17"/>
      <c r="E26" s="25"/>
      <c r="F26" s="25"/>
      <c r="G26" s="25"/>
      <c r="H26" s="25"/>
      <c r="I26" s="25"/>
      <c r="M26" s="27"/>
      <c r="N26" s="27"/>
      <c r="O26" s="27"/>
      <c r="P26" s="27"/>
      <c r="T26" s="35"/>
      <c r="U26" s="40">
        <f t="shared" si="3"/>
        <v>0</v>
      </c>
      <c r="V26" s="371" t="s">
        <v>1245</v>
      </c>
      <c r="W26" s="19" t="s">
        <v>1246</v>
      </c>
    </row>
    <row r="27" spans="1:25" s="3" customFormat="1" ht="25.4" customHeight="1">
      <c r="A27" s="3" t="s">
        <v>1024</v>
      </c>
      <c r="B27" s="51"/>
      <c r="D27" s="26" t="s">
        <v>1025</v>
      </c>
      <c r="E27" s="59">
        <f>Summary!E16</f>
        <v>6138361.2000000002</v>
      </c>
      <c r="F27" s="59">
        <f>Summary!F16</f>
        <v>7857677.5</v>
      </c>
      <c r="G27" s="59">
        <f>Summary!G16</f>
        <v>5506627.5999999996</v>
      </c>
      <c r="H27" s="59">
        <f>Summary!H16</f>
        <v>5203677.4000000004</v>
      </c>
      <c r="I27" s="59">
        <f>Summary!I16</f>
        <v>6779121.9000000004</v>
      </c>
      <c r="J27" s="59">
        <f>Summary!J16</f>
        <v>5436425.5</v>
      </c>
      <c r="K27" s="59">
        <f>Summary!K16</f>
        <v>7371067.5999999996</v>
      </c>
      <c r="L27" s="59">
        <f>Summary!L16</f>
        <v>7586440.5999999996</v>
      </c>
      <c r="M27" s="59">
        <f>Summary!M16</f>
        <v>4900169</v>
      </c>
      <c r="N27" s="59">
        <f>Summary!N16</f>
        <v>8295037.7000000002</v>
      </c>
      <c r="O27" s="59">
        <f>Summary!O16</f>
        <v>7041192.2000000002</v>
      </c>
      <c r="P27" s="59">
        <f>Summary!P16</f>
        <v>7534438.5999999996</v>
      </c>
      <c r="Q27" s="61">
        <f>SUM(E27:P27)</f>
        <v>79650236.799999997</v>
      </c>
      <c r="T27" s="35"/>
      <c r="U27" s="40" t="e">
        <f t="shared" si="3"/>
        <v>#DIV/0!</v>
      </c>
      <c r="W27" s="392" t="s">
        <v>1247</v>
      </c>
    </row>
    <row r="28" spans="1:25" ht="26.25" customHeight="1">
      <c r="E28" s="372">
        <f>E18/E27</f>
        <v>9.4683251940273563E-2</v>
      </c>
      <c r="F28" s="372">
        <f t="shared" ref="F28:P28" si="5">F18/F27</f>
        <v>7.6511157399880569E-2</v>
      </c>
      <c r="G28" s="372">
        <f t="shared" si="5"/>
        <v>9.6102376706934028E-2</v>
      </c>
      <c r="H28" s="372">
        <f t="shared" si="5"/>
        <v>0.10919201101897669</v>
      </c>
      <c r="I28" s="372">
        <f t="shared" si="5"/>
        <v>9.1339263275380833E-2</v>
      </c>
      <c r="J28" s="372">
        <f t="shared" si="5"/>
        <v>0.1170254241504827</v>
      </c>
      <c r="K28" s="372">
        <f t="shared" si="5"/>
        <v>9.0923057061639223E-2</v>
      </c>
      <c r="L28" s="372">
        <f t="shared" si="5"/>
        <v>8.7682753358669943E-2</v>
      </c>
      <c r="M28" s="372">
        <f t="shared" si="5"/>
        <v>0.12738336167589323</v>
      </c>
      <c r="N28" s="372">
        <f t="shared" si="5"/>
        <v>7.7299226741308236E-2</v>
      </c>
      <c r="O28" s="372">
        <f t="shared" si="5"/>
        <v>7.9844433162895342E-2</v>
      </c>
      <c r="P28" s="372">
        <f t="shared" si="5"/>
        <v>7.7802744321255737E-2</v>
      </c>
      <c r="Q28" s="373">
        <f>Q18/Q27</f>
        <v>9.145484423719881E-2</v>
      </c>
      <c r="W28" s="19" t="s">
        <v>1248</v>
      </c>
    </row>
    <row r="29" spans="1:25" ht="26.25" customHeight="1">
      <c r="W29" s="19"/>
      <c r="Y29" s="19"/>
    </row>
    <row r="30" spans="1:25" ht="26.25" customHeight="1">
      <c r="D30" s="17" t="s">
        <v>1249</v>
      </c>
      <c r="E30" s="393"/>
      <c r="F30" s="393"/>
      <c r="G30" s="393"/>
      <c r="H30" s="393"/>
      <c r="I30" s="393"/>
      <c r="J30" s="394"/>
      <c r="K30" s="394"/>
      <c r="L30" s="394"/>
      <c r="M30" s="394"/>
      <c r="N30" s="394"/>
      <c r="O30" s="394"/>
      <c r="P30" s="394"/>
    </row>
    <row r="31" spans="1:25" ht="26.25" customHeight="1">
      <c r="D31" s="17" t="s">
        <v>1026</v>
      </c>
      <c r="E31" s="395">
        <v>0.71679999999999999</v>
      </c>
      <c r="F31" s="395">
        <v>0.71679999999999999</v>
      </c>
      <c r="G31" s="395">
        <v>0.71679999999999999</v>
      </c>
      <c r="H31" s="395">
        <v>0.71679999999999999</v>
      </c>
      <c r="I31" s="395">
        <v>0.71679999999999999</v>
      </c>
      <c r="J31" s="395">
        <v>0.71679999999999999</v>
      </c>
      <c r="K31" s="395">
        <v>0.71679999999999999</v>
      </c>
      <c r="L31" s="395">
        <v>0.71679999999999999</v>
      </c>
      <c r="M31" s="395">
        <v>0.71679999999999999</v>
      </c>
      <c r="N31" s="395">
        <v>0.71679999999999999</v>
      </c>
      <c r="O31" s="395">
        <v>0.71679999999999999</v>
      </c>
      <c r="P31" s="395">
        <v>0.71679999999999999</v>
      </c>
      <c r="V31" s="371" t="s">
        <v>1250</v>
      </c>
      <c r="W31" s="19">
        <v>790000</v>
      </c>
    </row>
    <row r="32" spans="1:25" ht="26.25" customHeight="1">
      <c r="D32" s="17" t="s">
        <v>1027</v>
      </c>
      <c r="E32" s="395">
        <v>3.8</v>
      </c>
      <c r="F32" s="395">
        <v>3.8</v>
      </c>
      <c r="G32" s="395">
        <v>3.8</v>
      </c>
      <c r="H32" s="395">
        <v>3.8</v>
      </c>
      <c r="I32" s="395">
        <v>3.8</v>
      </c>
      <c r="J32" s="395">
        <v>3.8</v>
      </c>
      <c r="K32" s="395">
        <v>3.8</v>
      </c>
      <c r="L32" s="395">
        <v>3.8</v>
      </c>
      <c r="M32" s="395">
        <v>3.8</v>
      </c>
      <c r="N32" s="395">
        <v>3.8</v>
      </c>
      <c r="O32" s="395">
        <v>3.8</v>
      </c>
      <c r="P32" s="395">
        <v>3.8</v>
      </c>
    </row>
    <row r="33" spans="4:23" ht="26.25" customHeight="1">
      <c r="D33" s="17" t="s">
        <v>1028</v>
      </c>
      <c r="E33" s="395">
        <v>3.71</v>
      </c>
      <c r="F33" s="395">
        <v>3.71</v>
      </c>
      <c r="G33" s="395">
        <v>3.71</v>
      </c>
      <c r="H33" s="395">
        <v>3.71</v>
      </c>
      <c r="I33" s="395">
        <v>3.71</v>
      </c>
      <c r="J33" s="395">
        <v>3.71</v>
      </c>
      <c r="K33" s="395">
        <v>3.71</v>
      </c>
      <c r="L33" s="395">
        <v>3.71</v>
      </c>
      <c r="M33" s="395">
        <v>3.71</v>
      </c>
      <c r="N33" s="395">
        <v>3.71</v>
      </c>
      <c r="O33" s="395">
        <v>3.71</v>
      </c>
      <c r="P33" s="395">
        <v>3.71</v>
      </c>
      <c r="R33" s="374"/>
      <c r="W33" s="19">
        <f>W21+W31</f>
        <v>8074400</v>
      </c>
    </row>
    <row r="34" spans="4:23" ht="26.25" customHeight="1">
      <c r="D34" s="17" t="s">
        <v>1162</v>
      </c>
      <c r="E34" s="395">
        <v>7.5</v>
      </c>
      <c r="F34" s="395">
        <v>7.5</v>
      </c>
      <c r="G34" s="395">
        <v>7.5</v>
      </c>
      <c r="H34" s="395">
        <v>7.5</v>
      </c>
      <c r="I34" s="395">
        <v>7.5</v>
      </c>
      <c r="J34" s="395">
        <v>7.5</v>
      </c>
      <c r="K34" s="395">
        <v>7.5</v>
      </c>
      <c r="L34" s="395">
        <v>7.5</v>
      </c>
      <c r="M34" s="395">
        <v>7.5</v>
      </c>
      <c r="N34" s="395">
        <v>7.5</v>
      </c>
      <c r="O34" s="395">
        <v>7.5</v>
      </c>
      <c r="P34" s="395">
        <v>7.5</v>
      </c>
      <c r="V34" s="371" t="s">
        <v>1251</v>
      </c>
      <c r="W34" s="19">
        <f>W33/10000</f>
        <v>807.44</v>
      </c>
    </row>
    <row r="35" spans="4:23" s="377" customFormat="1" ht="26.25" customHeight="1">
      <c r="D35" s="375"/>
      <c r="E35" s="376"/>
      <c r="F35" s="376"/>
      <c r="G35" s="376"/>
      <c r="H35" s="376"/>
      <c r="I35" s="376"/>
      <c r="J35" s="375"/>
      <c r="K35" s="375"/>
      <c r="L35" s="375"/>
      <c r="M35" s="375"/>
      <c r="N35" s="375"/>
      <c r="O35" s="375"/>
      <c r="P35" s="375"/>
    </row>
    <row r="36" spans="4:23" s="377" customFormat="1" ht="26.25" customHeight="1">
      <c r="D36" s="375"/>
      <c r="E36" s="374">
        <v>31</v>
      </c>
      <c r="F36" s="374">
        <v>28</v>
      </c>
      <c r="G36" s="374">
        <v>31</v>
      </c>
      <c r="H36" s="374">
        <v>30</v>
      </c>
      <c r="I36" s="374">
        <v>31</v>
      </c>
      <c r="J36" s="374">
        <v>31</v>
      </c>
      <c r="K36" s="374">
        <v>30</v>
      </c>
      <c r="L36" s="374">
        <v>31</v>
      </c>
      <c r="M36" s="374">
        <v>30</v>
      </c>
      <c r="N36" s="374">
        <v>31</v>
      </c>
      <c r="O36" s="374">
        <v>30</v>
      </c>
      <c r="P36" s="374">
        <v>31</v>
      </c>
    </row>
    <row r="37" spans="4:23" s="377" customFormat="1" ht="26.25" customHeight="1">
      <c r="D37" s="21" t="s">
        <v>1252</v>
      </c>
      <c r="E37" s="43">
        <f>E18/E36</f>
        <v>18748.387096774193</v>
      </c>
      <c r="F37" s="43">
        <f>F18/28</f>
        <v>21471.428571428572</v>
      </c>
      <c r="G37" s="43">
        <f>G18/31</f>
        <v>17070.967741935485</v>
      </c>
      <c r="H37" s="43">
        <f>H18/30</f>
        <v>18940</v>
      </c>
      <c r="I37" s="43">
        <f>I18/31</f>
        <v>19974.193548387098</v>
      </c>
      <c r="J37" s="43">
        <f>J18/31</f>
        <v>20522.580645161292</v>
      </c>
      <c r="K37" s="43">
        <f>K18/30</f>
        <v>22340</v>
      </c>
      <c r="L37" s="43">
        <f>L18/31</f>
        <v>21458.064516129034</v>
      </c>
      <c r="M37" s="43">
        <f>M18/30</f>
        <v>20806.666666666668</v>
      </c>
      <c r="N37" s="43">
        <f>N18/31</f>
        <v>20683.870967741936</v>
      </c>
      <c r="O37" s="43">
        <f>O18/30</f>
        <v>18740</v>
      </c>
      <c r="P37" s="43">
        <f>P18/31</f>
        <v>18909.677419354837</v>
      </c>
      <c r="V37" s="371"/>
    </row>
    <row r="38" spans="4:23" s="377" customFormat="1" ht="26.25" customHeight="1">
      <c r="D38" s="26" t="s">
        <v>881</v>
      </c>
      <c r="E38" s="43">
        <f>E13/E36</f>
        <v>13548.387096774193</v>
      </c>
      <c r="F38" s="43">
        <f t="shared" ref="F38:P38" si="6">F13/F36</f>
        <v>15714.285714285714</v>
      </c>
      <c r="G38" s="43">
        <f t="shared" si="6"/>
        <v>13387.096774193549</v>
      </c>
      <c r="H38" s="43">
        <f t="shared" si="6"/>
        <v>15166.666666666666</v>
      </c>
      <c r="I38" s="43">
        <f t="shared" si="6"/>
        <v>16290.322580645161</v>
      </c>
      <c r="J38" s="43">
        <f t="shared" si="6"/>
        <v>16935.483870967742</v>
      </c>
      <c r="K38" s="43">
        <f t="shared" si="6"/>
        <v>18500</v>
      </c>
      <c r="L38" s="43">
        <f t="shared" si="6"/>
        <v>17741.935483870966</v>
      </c>
      <c r="M38" s="43">
        <f t="shared" si="6"/>
        <v>17166.666666666668</v>
      </c>
      <c r="N38" s="43">
        <f t="shared" si="6"/>
        <v>16935.483870967742</v>
      </c>
      <c r="O38" s="43">
        <f t="shared" si="6"/>
        <v>14833.333333333334</v>
      </c>
      <c r="P38" s="43">
        <f t="shared" si="6"/>
        <v>14354.838709677419</v>
      </c>
    </row>
    <row r="39" spans="4:23" ht="26.25" customHeight="1">
      <c r="D39" s="26" t="s">
        <v>883</v>
      </c>
      <c r="E39" s="43">
        <f>E14/E36</f>
        <v>3225.8064516129034</v>
      </c>
      <c r="F39" s="43">
        <f t="shared" ref="F39:P39" si="7">F14/F36</f>
        <v>3571.4285714285716</v>
      </c>
      <c r="G39" s="43">
        <f t="shared" si="7"/>
        <v>1709.6774193548388</v>
      </c>
      <c r="H39" s="43">
        <f t="shared" si="7"/>
        <v>1733.3333333333333</v>
      </c>
      <c r="I39" s="43">
        <f t="shared" si="7"/>
        <v>1709.6774193548388</v>
      </c>
      <c r="J39" s="43">
        <f t="shared" si="7"/>
        <v>1612.9032258064517</v>
      </c>
      <c r="K39" s="43">
        <f t="shared" si="7"/>
        <v>1800</v>
      </c>
      <c r="L39" s="43">
        <f t="shared" si="7"/>
        <v>1741.9354838709678</v>
      </c>
      <c r="M39" s="43">
        <f t="shared" si="7"/>
        <v>1600</v>
      </c>
      <c r="N39" s="43">
        <f t="shared" si="7"/>
        <v>1774.1935483870968</v>
      </c>
      <c r="O39" s="43">
        <f t="shared" si="7"/>
        <v>1866.6666666666667</v>
      </c>
      <c r="P39" s="43">
        <f t="shared" si="7"/>
        <v>2580.6451612903224</v>
      </c>
    </row>
    <row r="40" spans="4:23" ht="26.25" customHeight="1">
      <c r="D40" s="26" t="s">
        <v>885</v>
      </c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4:23" ht="26.25" customHeight="1">
      <c r="D41" s="72" t="s">
        <v>887</v>
      </c>
      <c r="E41" s="43">
        <f>E16/E36</f>
        <v>1935.483870967742</v>
      </c>
      <c r="F41" s="43">
        <f t="shared" ref="F41:P41" si="8">F16/F36</f>
        <v>2142.8571428571427</v>
      </c>
      <c r="G41" s="43">
        <f t="shared" si="8"/>
        <v>1935.483870967742</v>
      </c>
      <c r="H41" s="43">
        <f t="shared" si="8"/>
        <v>2000</v>
      </c>
      <c r="I41" s="43">
        <f t="shared" si="8"/>
        <v>1935.483870967742</v>
      </c>
      <c r="J41" s="43">
        <f t="shared" si="8"/>
        <v>1935.483870967742</v>
      </c>
      <c r="K41" s="43">
        <f t="shared" si="8"/>
        <v>2000</v>
      </c>
      <c r="L41" s="43">
        <f t="shared" si="8"/>
        <v>1935.483870967742</v>
      </c>
      <c r="M41" s="43">
        <f t="shared" si="8"/>
        <v>2000</v>
      </c>
      <c r="N41" s="43">
        <f t="shared" si="8"/>
        <v>1935.483870967742</v>
      </c>
      <c r="O41" s="43">
        <f t="shared" si="8"/>
        <v>2000</v>
      </c>
      <c r="P41" s="43">
        <f t="shared" si="8"/>
        <v>1935.483870967742</v>
      </c>
    </row>
    <row r="42" spans="4:23" ht="26.25" customHeight="1">
      <c r="D42" s="26" t="s">
        <v>889</v>
      </c>
      <c r="E42" s="43">
        <f>E17/E36</f>
        <v>38.70967741935484</v>
      </c>
      <c r="F42" s="43">
        <f t="shared" ref="F42:P42" si="9">F17/F36</f>
        <v>42.857142857142854</v>
      </c>
      <c r="G42" s="43">
        <f t="shared" si="9"/>
        <v>38.70967741935484</v>
      </c>
      <c r="H42" s="43">
        <f t="shared" si="9"/>
        <v>40</v>
      </c>
      <c r="I42" s="43">
        <f t="shared" si="9"/>
        <v>38.70967741935484</v>
      </c>
      <c r="J42" s="43">
        <f t="shared" si="9"/>
        <v>38.70967741935484</v>
      </c>
      <c r="K42" s="43">
        <f t="shared" si="9"/>
        <v>40</v>
      </c>
      <c r="L42" s="43">
        <f t="shared" si="9"/>
        <v>38.70967741935484</v>
      </c>
      <c r="M42" s="43">
        <f t="shared" si="9"/>
        <v>40</v>
      </c>
      <c r="N42" s="43">
        <f t="shared" si="9"/>
        <v>38.70967741935484</v>
      </c>
      <c r="O42" s="43">
        <f t="shared" si="9"/>
        <v>40</v>
      </c>
      <c r="P42" s="43">
        <f t="shared" si="9"/>
        <v>38.70967741935484</v>
      </c>
    </row>
    <row r="45" spans="4:23" ht="26.25" customHeight="1">
      <c r="D45" s="21" t="s">
        <v>1253</v>
      </c>
    </row>
    <row r="46" spans="4:23" ht="26.25" customHeight="1">
      <c r="D46" s="26" t="s">
        <v>1254</v>
      </c>
      <c r="E46" s="43">
        <f>E37/E31</f>
        <v>26155.673963133639</v>
      </c>
      <c r="F46" s="43">
        <f t="shared" ref="F46:P47" si="10">F37/F31</f>
        <v>29954.559948979593</v>
      </c>
      <c r="G46" s="43">
        <f t="shared" si="10"/>
        <v>23815.52419354839</v>
      </c>
      <c r="H46" s="43">
        <f t="shared" si="10"/>
        <v>26422.991071428572</v>
      </c>
      <c r="I46" s="43">
        <f t="shared" si="10"/>
        <v>27865.78341013825</v>
      </c>
      <c r="J46" s="43">
        <f t="shared" si="10"/>
        <v>28630.832373271893</v>
      </c>
      <c r="K46" s="43">
        <f t="shared" si="10"/>
        <v>31166.294642857145</v>
      </c>
      <c r="L46" s="43">
        <f t="shared" si="10"/>
        <v>29935.915898617513</v>
      </c>
      <c r="M46" s="43">
        <f t="shared" si="10"/>
        <v>29027.15773809524</v>
      </c>
      <c r="N46" s="43">
        <f t="shared" si="10"/>
        <v>28855.846774193549</v>
      </c>
      <c r="O46" s="43">
        <f t="shared" si="10"/>
        <v>26143.973214285714</v>
      </c>
      <c r="P46" s="43">
        <f t="shared" si="10"/>
        <v>26380.688364055299</v>
      </c>
    </row>
    <row r="47" spans="4:23" ht="26.25" customHeight="1">
      <c r="D47" s="26" t="s">
        <v>883</v>
      </c>
      <c r="E47" s="43">
        <f>E38/E32</f>
        <v>3565.3650254668933</v>
      </c>
      <c r="F47" s="43">
        <f t="shared" si="10"/>
        <v>4135.3383458646613</v>
      </c>
      <c r="G47" s="43">
        <f t="shared" si="10"/>
        <v>3522.9202037351447</v>
      </c>
      <c r="H47" s="43">
        <f t="shared" si="10"/>
        <v>3991.2280701754385</v>
      </c>
      <c r="I47" s="43">
        <f t="shared" si="10"/>
        <v>4286.9269949066211</v>
      </c>
      <c r="J47" s="43">
        <f t="shared" si="10"/>
        <v>4456.7062818336162</v>
      </c>
      <c r="K47" s="43">
        <f t="shared" si="10"/>
        <v>4868.4210526315792</v>
      </c>
      <c r="L47" s="43">
        <f t="shared" si="10"/>
        <v>4668.9303904923599</v>
      </c>
      <c r="M47" s="43">
        <f t="shared" si="10"/>
        <v>4517.5438596491231</v>
      </c>
      <c r="N47" s="43">
        <f t="shared" si="10"/>
        <v>4456.7062818336162</v>
      </c>
      <c r="O47" s="43">
        <f t="shared" si="10"/>
        <v>3903.5087719298249</v>
      </c>
      <c r="P47" s="43">
        <f t="shared" si="10"/>
        <v>3777.5891341256365</v>
      </c>
    </row>
    <row r="48" spans="4:23" ht="26.25" customHeight="1">
      <c r="D48" s="26" t="s">
        <v>885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4:16" ht="26.25" customHeight="1">
      <c r="D49" s="72" t="s">
        <v>1255</v>
      </c>
      <c r="E49" s="43">
        <f>E41/E33</f>
        <v>521.69376575949923</v>
      </c>
      <c r="F49" s="43">
        <f t="shared" ref="F49:P50" si="11">F41/F33</f>
        <v>577.58952637658831</v>
      </c>
      <c r="G49" s="43">
        <f t="shared" si="11"/>
        <v>521.69376575949923</v>
      </c>
      <c r="H49" s="43">
        <f t="shared" si="11"/>
        <v>539.08355795148248</v>
      </c>
      <c r="I49" s="43">
        <f t="shared" si="11"/>
        <v>521.69376575949923</v>
      </c>
      <c r="J49" s="43">
        <f t="shared" si="11"/>
        <v>521.69376575949923</v>
      </c>
      <c r="K49" s="43">
        <f t="shared" si="11"/>
        <v>539.08355795148248</v>
      </c>
      <c r="L49" s="43">
        <f t="shared" si="11"/>
        <v>521.69376575949923</v>
      </c>
      <c r="M49" s="43">
        <f t="shared" si="11"/>
        <v>539.08355795148248</v>
      </c>
      <c r="N49" s="43">
        <f t="shared" si="11"/>
        <v>521.69376575949923</v>
      </c>
      <c r="O49" s="43">
        <f t="shared" si="11"/>
        <v>539.08355795148248</v>
      </c>
      <c r="P49" s="43">
        <f t="shared" si="11"/>
        <v>521.69376575949923</v>
      </c>
    </row>
    <row r="50" spans="4:16" ht="26.25" customHeight="1">
      <c r="D50" s="26" t="s">
        <v>1256</v>
      </c>
      <c r="E50" s="43">
        <f>E42/E34</f>
        <v>5.161290322580645</v>
      </c>
      <c r="F50" s="43">
        <f t="shared" si="11"/>
        <v>5.7142857142857135</v>
      </c>
      <c r="G50" s="43">
        <f t="shared" si="11"/>
        <v>5.161290322580645</v>
      </c>
      <c r="H50" s="43">
        <f t="shared" si="11"/>
        <v>5.333333333333333</v>
      </c>
      <c r="I50" s="43">
        <f t="shared" si="11"/>
        <v>5.161290322580645</v>
      </c>
      <c r="J50" s="43">
        <f t="shared" si="11"/>
        <v>5.161290322580645</v>
      </c>
      <c r="K50" s="43">
        <f t="shared" si="11"/>
        <v>5.333333333333333</v>
      </c>
      <c r="L50" s="43">
        <f t="shared" si="11"/>
        <v>5.161290322580645</v>
      </c>
      <c r="M50" s="43">
        <f t="shared" si="11"/>
        <v>5.333333333333333</v>
      </c>
      <c r="N50" s="43">
        <f t="shared" si="11"/>
        <v>5.161290322580645</v>
      </c>
      <c r="O50" s="43">
        <f t="shared" si="11"/>
        <v>5.333333333333333</v>
      </c>
      <c r="P50" s="43">
        <f t="shared" si="11"/>
        <v>5.161290322580645</v>
      </c>
    </row>
  </sheetData>
  <phoneticPr fontId="56" type="noConversion"/>
  <dataValidations count="15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5=-2586288.67_x000d__x000a_" sqref="H12">
      <formula1>0</formula1>
      <formula2>300</formula2>
    </dataValidation>
    <dataValidation type="textLength" errorStyle="information" allowBlank="1" showInputMessage="1" showErrorMessage="1" error="XLBVal:6=6595485.04_x000d__x000a_" sqref="G12">
      <formula1>0</formula1>
      <formula2>300</formula2>
    </dataValidation>
    <dataValidation type="textLength" errorStyle="information" allowBlank="1" showInputMessage="1" showErrorMessage="1" error="XLBVal:6=6688509.16_x000d__x000a_" sqref="E12">
      <formula1>0</formula1>
      <formula2>300</formula2>
    </dataValidation>
    <dataValidation type="textLength" errorStyle="information" allowBlank="1" showInputMessage="1" showErrorMessage="1" error="XLBVal:6=317284.98_x000d__x000a_" sqref="E13:M14 E16:P16 N13:P15">
      <formula1>0</formula1>
      <formula2>300</formula2>
    </dataValidation>
    <dataValidation type="textLength" errorStyle="information" allowBlank="1" showInputMessage="1" showErrorMessage="1" error="XLBVal:2=0_x000d__x000a_" sqref="F12 Q24:Q25 E15:M15 E23:Q23 E25:P25 M26:P26 Q21:Q22 E17:P17">
      <formula1>0</formula1>
      <formula2>300</formula2>
    </dataValidation>
    <dataValidation type="textLength" errorStyle="information" allowBlank="1" showInputMessage="1" showErrorMessage="1" error="XLBVal:6=0_x000d__x000a_" sqref="E18:Q18 E19:G20">
      <formula1>0</formula1>
      <formula2>300</formula2>
    </dataValidation>
    <dataValidation type="textLength" errorStyle="information" allowBlank="1" showInputMessage="1" showErrorMessage="1" error="XLBVal:5=15426.66_x000d__x000a_" sqref="I12">
      <formula1>0</formula1>
      <formula2>300</formula2>
    </dataValidation>
    <dataValidation type="textLength" errorStyle="information" allowBlank="1" showInputMessage="1" showErrorMessage="1" error="XLBVal:6=458488_x000d__x000a_" sqref="E21:P21 E22:M22">
      <formula1>0</formula1>
      <formula2>300</formula2>
    </dataValidation>
    <dataValidation type="textLength" errorStyle="information" allowBlank="1" showInputMessage="1" showErrorMessage="1" error="XLBVal:6=108724_x000d__x000a_" sqref="N22:P22">
      <formula1>0</formula1>
      <formula2>300</formula2>
    </dataValidation>
    <dataValidation type="textLength" errorStyle="information" allowBlank="1" showInputMessage="1" showErrorMessage="1" error="XLBVal:6=8177_x000d__x000a_" sqref="E24:P24">
      <formula1>0</formula1>
      <formula2>300</formula2>
    </dataValidation>
    <dataValidation type="textLength" errorStyle="information" allowBlank="1" showInputMessage="1" showErrorMessage="1" error="XLBVal:6=5472444.64_x000d__x000a_" sqref="E27:P27">
      <formula1>0</formula1>
      <formula2>300</formula2>
    </dataValidation>
    <dataValidation type="textLength" errorStyle="information" allowBlank="1" showInputMessage="1" showErrorMessage="1" error="XLBVal:6=376353552_x000d__x000a_" sqref="Q27">
      <formula1>0</formula1>
      <formula2>300</formula2>
    </dataValidation>
    <dataValidation type="textLength" errorStyle="information" allowBlank="1" showInputMessage="1" showErrorMessage="1" error="XLBVal:6=11866876_x000d__x000a_" sqref="Q13:Q17">
      <formula1>0</formula1>
      <formula2>300</formula2>
    </dataValidation>
    <dataValidation type="textLength" errorStyle="information" allowBlank="1" showInputMessage="1" showErrorMessage="1" error="XLBVal:5=0_x000d__x000a_" sqref="H19:I2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6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0">
    <tabColor rgb="FFFFCC00"/>
    <pageSetUpPr fitToPage="1"/>
  </sheetPr>
  <dimension ref="A1:V200"/>
  <sheetViews>
    <sheetView zoomScale="55" zoomScaleNormal="55" zoomScaleSheetLayoutView="55" workbookViewId="0">
      <pane xSplit="4" ySplit="12" topLeftCell="E135" activePane="bottomRight" state="frozen"/>
      <selection activeCell="D9" sqref="D9"/>
      <selection pane="topRight" activeCell="D9" sqref="D9"/>
      <selection pane="bottomLeft" activeCell="D9" sqref="D9"/>
      <selection pane="bottomRight" activeCell="H147" sqref="H147:J147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73.453125" style="6" customWidth="1" collapsed="1"/>
    <col min="5" max="9" width="23" style="7" customWidth="1"/>
    <col min="10" max="16" width="23" style="5" customWidth="1"/>
    <col min="17" max="17" width="24.453125" style="5" customWidth="1"/>
    <col min="18" max="18" width="12" style="5" customWidth="1"/>
    <col min="19" max="19" width="9.08984375" style="5" hidden="1" customWidth="1"/>
    <col min="20" max="20" width="22.453125" style="8" hidden="1" customWidth="1"/>
    <col min="21" max="21" width="22.453125" style="5" hidden="1" customWidth="1"/>
    <col min="22" max="22" width="24.08984375" style="5" customWidth="1"/>
    <col min="23" max="23" width="20.08984375" style="5" customWidth="1"/>
    <col min="24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</row>
    <row r="4" spans="1:21" s="2" customFormat="1" ht="25.4" customHeight="1">
      <c r="D4" s="14" t="str">
        <f>Summary!$D$4</f>
        <v>Hotel Budget Report</v>
      </c>
      <c r="E4" s="11"/>
      <c r="F4" s="11"/>
      <c r="G4" s="12"/>
      <c r="H4" s="13"/>
      <c r="I4" s="13"/>
      <c r="T4" s="33"/>
    </row>
    <row r="5" spans="1:21" s="2" customFormat="1" ht="25.4" customHeight="1">
      <c r="D5" s="14" t="str">
        <f>Summary!$D$5</f>
        <v>酒店预算报表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1029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/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34" t="s">
        <v>22</v>
      </c>
      <c r="T10" s="36" t="s">
        <v>23</v>
      </c>
      <c r="U10" s="37" t="s">
        <v>24</v>
      </c>
    </row>
    <row r="11" spans="1:21" s="3" customFormat="1" ht="25.4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54</v>
      </c>
      <c r="D12" s="21" t="s">
        <v>139</v>
      </c>
      <c r="E12" s="43">
        <f>+E194</f>
        <v>315664.09000000003</v>
      </c>
      <c r="F12" s="43">
        <f t="shared" ref="F12:P12" si="0">+F194</f>
        <v>315682.69</v>
      </c>
      <c r="G12" s="43">
        <f t="shared" si="0"/>
        <v>315158.89</v>
      </c>
      <c r="H12" s="43">
        <f t="shared" si="0"/>
        <v>315207.49</v>
      </c>
      <c r="I12" s="43">
        <f t="shared" si="0"/>
        <v>314755.09000000003</v>
      </c>
      <c r="J12" s="43">
        <f t="shared" si="0"/>
        <v>314414.74</v>
      </c>
      <c r="K12" s="43">
        <f t="shared" si="0"/>
        <v>314202.04000000004</v>
      </c>
      <c r="L12" s="43">
        <f t="shared" si="0"/>
        <v>314228.89</v>
      </c>
      <c r="M12" s="43">
        <f t="shared" si="0"/>
        <v>314252.44</v>
      </c>
      <c r="N12" s="43">
        <f t="shared" si="0"/>
        <v>314326.39</v>
      </c>
      <c r="O12" s="43">
        <f t="shared" si="0"/>
        <v>314126.74</v>
      </c>
      <c r="P12" s="43">
        <f t="shared" si="0"/>
        <v>314066.64</v>
      </c>
      <c r="Q12" s="43">
        <f>SUM(E12:P12)</f>
        <v>3776086.1300000004</v>
      </c>
      <c r="R12" s="39">
        <f>Q12/Summary!$Q$16</f>
        <v>4.7408347817994183E-2</v>
      </c>
      <c r="S12" s="39"/>
      <c r="T12" s="35"/>
      <c r="U12" s="40" t="e">
        <f>-IF(Q12-T12=0,0,(Q12-T12)/T12)</f>
        <v>#DIV/0!</v>
      </c>
    </row>
    <row r="13" spans="1:21" s="3" customFormat="1" ht="25.4" customHeight="1">
      <c r="D13" s="26"/>
      <c r="E13" s="24"/>
      <c r="F13" s="24"/>
      <c r="G13" s="24"/>
      <c r="H13" s="44"/>
      <c r="I13" s="44"/>
      <c r="T13" s="35"/>
      <c r="U13" s="40"/>
    </row>
    <row r="14" spans="1:21" s="3" customFormat="1" ht="25.4" customHeight="1">
      <c r="D14" s="21" t="s">
        <v>140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T14" s="35"/>
      <c r="U14" s="40"/>
    </row>
    <row r="15" spans="1:21" s="3" customFormat="1" ht="25.4" customHeight="1">
      <c r="A15" s="3" t="s">
        <v>468</v>
      </c>
      <c r="B15" s="3" t="s">
        <v>54</v>
      </c>
      <c r="D15" s="26" t="s">
        <v>469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41">
        <f>SUM(E15:P15)</f>
        <v>0</v>
      </c>
      <c r="T15" s="35"/>
      <c r="U15" s="40">
        <f t="shared" ref="U15:U20" si="1">IF(Q15-T15=0,0,(Q15-T15)/T15)</f>
        <v>0</v>
      </c>
    </row>
    <row r="16" spans="1:21" s="3" customFormat="1" ht="25.4" customHeight="1">
      <c r="A16" s="3" t="s">
        <v>470</v>
      </c>
      <c r="B16" s="3" t="s">
        <v>54</v>
      </c>
      <c r="D16" s="26" t="s">
        <v>471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41">
        <f t="shared" ref="Q16:Q79" si="2">SUM(E16:P16)</f>
        <v>0</v>
      </c>
      <c r="T16" s="35"/>
      <c r="U16" s="40">
        <f t="shared" si="1"/>
        <v>0</v>
      </c>
    </row>
    <row r="17" spans="1:21" s="3" customFormat="1" ht="25.4" customHeight="1">
      <c r="A17" s="3" t="s">
        <v>472</v>
      </c>
      <c r="B17" s="3" t="s">
        <v>54</v>
      </c>
      <c r="D17" s="26" t="s">
        <v>473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41">
        <f t="shared" si="2"/>
        <v>0</v>
      </c>
      <c r="T17" s="35"/>
      <c r="U17" s="40">
        <f t="shared" si="1"/>
        <v>0</v>
      </c>
    </row>
    <row r="18" spans="1:21" s="3" customFormat="1" ht="25.4" customHeight="1">
      <c r="A18" s="3" t="s">
        <v>474</v>
      </c>
      <c r="B18" s="3" t="s">
        <v>54</v>
      </c>
      <c r="D18" s="26" t="s">
        <v>475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41">
        <f t="shared" si="2"/>
        <v>0</v>
      </c>
      <c r="T18" s="35"/>
      <c r="U18" s="40">
        <f t="shared" si="1"/>
        <v>0</v>
      </c>
    </row>
    <row r="19" spans="1:21" s="3" customFormat="1" ht="25.4" customHeight="1">
      <c r="A19" s="3" t="s">
        <v>476</v>
      </c>
      <c r="B19" s="3" t="s">
        <v>54</v>
      </c>
      <c r="D19" s="26" t="s">
        <v>477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41">
        <f t="shared" si="2"/>
        <v>0</v>
      </c>
      <c r="T19" s="35"/>
      <c r="U19" s="40">
        <f t="shared" si="1"/>
        <v>0</v>
      </c>
    </row>
    <row r="20" spans="1:21" s="3" customFormat="1" ht="25.4" customHeight="1">
      <c r="A20" s="3" t="s">
        <v>478</v>
      </c>
      <c r="B20" s="3" t="s">
        <v>54</v>
      </c>
      <c r="D20" s="26" t="s">
        <v>479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41">
        <f t="shared" si="2"/>
        <v>0</v>
      </c>
      <c r="T20" s="35"/>
      <c r="U20" s="40">
        <f t="shared" si="1"/>
        <v>0</v>
      </c>
    </row>
    <row r="21" spans="1:21" s="3" customFormat="1" ht="25.4" customHeight="1">
      <c r="A21" s="3" t="s">
        <v>480</v>
      </c>
      <c r="B21" s="3" t="s">
        <v>54</v>
      </c>
      <c r="D21" s="26" t="s">
        <v>481</v>
      </c>
      <c r="E21" s="43">
        <v>300</v>
      </c>
      <c r="F21" s="43">
        <v>300</v>
      </c>
      <c r="G21" s="43">
        <v>300</v>
      </c>
      <c r="H21" s="43">
        <v>300</v>
      </c>
      <c r="I21" s="43">
        <v>300</v>
      </c>
      <c r="J21" s="61">
        <v>300</v>
      </c>
      <c r="K21" s="61">
        <v>300</v>
      </c>
      <c r="L21" s="61">
        <v>300</v>
      </c>
      <c r="M21" s="61">
        <v>300</v>
      </c>
      <c r="N21" s="61">
        <v>300</v>
      </c>
      <c r="O21" s="61">
        <v>300</v>
      </c>
      <c r="P21" s="61">
        <v>300</v>
      </c>
      <c r="Q21" s="41">
        <f t="shared" si="2"/>
        <v>3600</v>
      </c>
      <c r="R21" s="3">
        <f>Q21/Summary!$Q$16</f>
        <v>4.5197605740200377E-5</v>
      </c>
      <c r="T21" s="35"/>
      <c r="U21" s="40">
        <f t="shared" ref="U21:U52" si="3">-IF(T21&lt;&gt;0,(Q21-T21)/T21,1)</f>
        <v>-1</v>
      </c>
    </row>
    <row r="22" spans="1:21" s="3" customFormat="1" ht="25.4" customHeight="1">
      <c r="A22" s="3" t="s">
        <v>482</v>
      </c>
      <c r="B22" s="3" t="s">
        <v>54</v>
      </c>
      <c r="D22" s="26" t="s">
        <v>483</v>
      </c>
      <c r="E22" s="43"/>
      <c r="F22" s="43"/>
      <c r="G22" s="43"/>
      <c r="H22" s="43"/>
      <c r="I22" s="43"/>
      <c r="J22" s="61"/>
      <c r="K22" s="61"/>
      <c r="L22" s="61"/>
      <c r="M22" s="61"/>
      <c r="N22" s="61"/>
      <c r="O22" s="61"/>
      <c r="P22" s="61"/>
      <c r="Q22" s="41">
        <f t="shared" si="2"/>
        <v>0</v>
      </c>
      <c r="R22" s="3">
        <f>Q22/Summary!$Q$16</f>
        <v>0</v>
      </c>
      <c r="T22" s="35"/>
      <c r="U22" s="40">
        <f t="shared" si="3"/>
        <v>-1</v>
      </c>
    </row>
    <row r="23" spans="1:21" s="3" customFormat="1" ht="25.4" customHeight="1">
      <c r="A23" s="3" t="s">
        <v>484</v>
      </c>
      <c r="B23" s="3" t="s">
        <v>54</v>
      </c>
      <c r="D23" s="26" t="s">
        <v>485</v>
      </c>
      <c r="E23" s="43"/>
      <c r="F23" s="43"/>
      <c r="G23" s="43"/>
      <c r="H23" s="43"/>
      <c r="I23" s="43"/>
      <c r="J23" s="61"/>
      <c r="K23" s="61"/>
      <c r="L23" s="61"/>
      <c r="M23" s="61"/>
      <c r="N23" s="61"/>
      <c r="O23" s="61"/>
      <c r="P23" s="61"/>
      <c r="Q23" s="41">
        <f t="shared" si="2"/>
        <v>0</v>
      </c>
      <c r="R23" s="3">
        <f>Q23/Summary!$Q$16</f>
        <v>0</v>
      </c>
      <c r="T23" s="35"/>
      <c r="U23" s="40">
        <f t="shared" si="3"/>
        <v>-1</v>
      </c>
    </row>
    <row r="24" spans="1:21" s="3" customFormat="1" ht="25.4" customHeight="1">
      <c r="A24" s="3" t="s">
        <v>486</v>
      </c>
      <c r="B24" s="3" t="s">
        <v>54</v>
      </c>
      <c r="D24" s="26" t="s">
        <v>487</v>
      </c>
      <c r="E24" s="43"/>
      <c r="F24" s="43"/>
      <c r="G24" s="43"/>
      <c r="H24" s="43"/>
      <c r="I24" s="43"/>
      <c r="J24" s="61"/>
      <c r="K24" s="61"/>
      <c r="L24" s="61"/>
      <c r="M24" s="61"/>
      <c r="N24" s="61"/>
      <c r="O24" s="61"/>
      <c r="P24" s="61"/>
      <c r="Q24" s="41">
        <f t="shared" si="2"/>
        <v>0</v>
      </c>
      <c r="R24" s="3">
        <f>Q24/Summary!$Q$16</f>
        <v>0</v>
      </c>
      <c r="T24" s="35"/>
      <c r="U24" s="40">
        <f t="shared" si="3"/>
        <v>-1</v>
      </c>
    </row>
    <row r="25" spans="1:21" s="3" customFormat="1" ht="25.4" customHeight="1">
      <c r="A25" s="3" t="s">
        <v>488</v>
      </c>
      <c r="B25" s="3" t="s">
        <v>54</v>
      </c>
      <c r="D25" s="26" t="s">
        <v>489</v>
      </c>
      <c r="E25" s="43">
        <v>32885.333333333328</v>
      </c>
      <c r="F25" s="43">
        <v>38995.333333333328</v>
      </c>
      <c r="G25" s="43">
        <v>32885.333333333328</v>
      </c>
      <c r="H25" s="43">
        <v>32885.333333333328</v>
      </c>
      <c r="I25" s="43">
        <v>38995.333333333328</v>
      </c>
      <c r="J25" s="61">
        <v>32885.333333333328</v>
      </c>
      <c r="K25" s="61">
        <v>32885.333333333328</v>
      </c>
      <c r="L25" s="61">
        <v>48995.333333333328</v>
      </c>
      <c r="M25" s="61">
        <v>32885.333333333328</v>
      </c>
      <c r="N25" s="61">
        <v>88885.333333333328</v>
      </c>
      <c r="O25" s="61">
        <v>38995.333333333328</v>
      </c>
      <c r="P25" s="61">
        <v>32885.333333333328</v>
      </c>
      <c r="Q25" s="41">
        <f t="shared" si="2"/>
        <v>485063.99999999983</v>
      </c>
      <c r="R25" s="3">
        <f>Q25/Summary!$Q$16</f>
        <v>6.0899253974345969E-3</v>
      </c>
      <c r="T25" s="35"/>
      <c r="U25" s="40">
        <f t="shared" si="3"/>
        <v>-1</v>
      </c>
    </row>
    <row r="26" spans="1:21" s="3" customFormat="1" ht="25.4" customHeight="1">
      <c r="A26" s="3" t="s">
        <v>490</v>
      </c>
      <c r="B26" s="3" t="s">
        <v>54</v>
      </c>
      <c r="D26" s="26" t="s">
        <v>491</v>
      </c>
      <c r="E26" s="43">
        <v>22080</v>
      </c>
      <c r="F26" s="43">
        <v>16560</v>
      </c>
      <c r="G26" s="43">
        <v>21240</v>
      </c>
      <c r="H26" s="43">
        <v>22080</v>
      </c>
      <c r="I26" s="43">
        <v>22080</v>
      </c>
      <c r="J26" s="61">
        <v>21240</v>
      </c>
      <c r="K26" s="61">
        <v>27600</v>
      </c>
      <c r="L26" s="61">
        <v>22080</v>
      </c>
      <c r="M26" s="61">
        <v>21240</v>
      </c>
      <c r="N26" s="61">
        <v>22080</v>
      </c>
      <c r="O26" s="61">
        <v>20880</v>
      </c>
      <c r="P26" s="61">
        <v>22440</v>
      </c>
      <c r="Q26" s="41">
        <f t="shared" si="2"/>
        <v>261600</v>
      </c>
      <c r="R26" s="3">
        <f>Q26/Summary!$Q$16</f>
        <v>3.2843593504545609E-3</v>
      </c>
      <c r="T26" s="35"/>
      <c r="U26" s="40">
        <f t="shared" si="3"/>
        <v>-1</v>
      </c>
    </row>
    <row r="27" spans="1:21" s="3" customFormat="1" ht="25.4" hidden="1" customHeight="1">
      <c r="A27" s="3" t="s">
        <v>492</v>
      </c>
      <c r="B27" s="3" t="s">
        <v>54</v>
      </c>
      <c r="D27" s="26" t="s">
        <v>493</v>
      </c>
      <c r="E27" s="43"/>
      <c r="F27" s="43"/>
      <c r="G27" s="43"/>
      <c r="H27" s="43"/>
      <c r="I27" s="43"/>
      <c r="J27" s="61"/>
      <c r="K27" s="61"/>
      <c r="L27" s="61"/>
      <c r="M27" s="61"/>
      <c r="N27" s="61"/>
      <c r="O27" s="61"/>
      <c r="P27" s="61"/>
      <c r="Q27" s="41">
        <f t="shared" si="2"/>
        <v>0</v>
      </c>
      <c r="R27" s="3">
        <f>Q27/Summary!$Q$16</f>
        <v>0</v>
      </c>
      <c r="T27" s="35"/>
      <c r="U27" s="40">
        <f t="shared" si="3"/>
        <v>-1</v>
      </c>
    </row>
    <row r="28" spans="1:21" s="3" customFormat="1" ht="25.4" hidden="1" customHeight="1">
      <c r="A28" s="3" t="s">
        <v>494</v>
      </c>
      <c r="B28" s="3" t="s">
        <v>54</v>
      </c>
      <c r="D28" s="26" t="s">
        <v>495</v>
      </c>
      <c r="E28" s="43"/>
      <c r="F28" s="43"/>
      <c r="G28" s="43"/>
      <c r="H28" s="43"/>
      <c r="I28" s="43"/>
      <c r="J28" s="61"/>
      <c r="K28" s="61"/>
      <c r="L28" s="61"/>
      <c r="M28" s="61"/>
      <c r="N28" s="61"/>
      <c r="O28" s="61"/>
      <c r="P28" s="61"/>
      <c r="Q28" s="41">
        <f t="shared" si="2"/>
        <v>0</v>
      </c>
      <c r="R28" s="3">
        <f>Q28/Summary!$Q$16</f>
        <v>0</v>
      </c>
      <c r="T28" s="35"/>
      <c r="U28" s="40">
        <f t="shared" si="3"/>
        <v>-1</v>
      </c>
    </row>
    <row r="29" spans="1:21" s="3" customFormat="1" ht="25.4" hidden="1" customHeight="1">
      <c r="A29" s="3" t="s">
        <v>496</v>
      </c>
      <c r="B29" s="3" t="s">
        <v>54</v>
      </c>
      <c r="D29" s="26" t="s">
        <v>171</v>
      </c>
      <c r="E29" s="43"/>
      <c r="F29" s="43"/>
      <c r="G29" s="43"/>
      <c r="H29" s="43"/>
      <c r="I29" s="43"/>
      <c r="J29" s="61"/>
      <c r="K29" s="61"/>
      <c r="L29" s="61"/>
      <c r="M29" s="61"/>
      <c r="N29" s="61"/>
      <c r="O29" s="61"/>
      <c r="P29" s="61"/>
      <c r="Q29" s="41">
        <f t="shared" si="2"/>
        <v>0</v>
      </c>
      <c r="R29" s="3">
        <f>Q29/Summary!$Q$16</f>
        <v>0</v>
      </c>
      <c r="T29" s="35"/>
      <c r="U29" s="40">
        <f t="shared" si="3"/>
        <v>-1</v>
      </c>
    </row>
    <row r="30" spans="1:21" s="3" customFormat="1" ht="25.4" hidden="1" customHeight="1">
      <c r="A30" s="3" t="s">
        <v>497</v>
      </c>
      <c r="B30" s="3" t="s">
        <v>54</v>
      </c>
      <c r="D30" s="26" t="s">
        <v>173</v>
      </c>
      <c r="E30" s="43"/>
      <c r="F30" s="43"/>
      <c r="G30" s="43"/>
      <c r="H30" s="43"/>
      <c r="I30" s="43"/>
      <c r="J30" s="61"/>
      <c r="K30" s="61"/>
      <c r="L30" s="61"/>
      <c r="M30" s="61"/>
      <c r="N30" s="61"/>
      <c r="O30" s="61"/>
      <c r="P30" s="61"/>
      <c r="Q30" s="41">
        <f t="shared" si="2"/>
        <v>0</v>
      </c>
      <c r="R30" s="3">
        <f>Q30/Summary!$Q$16</f>
        <v>0</v>
      </c>
      <c r="T30" s="35"/>
      <c r="U30" s="40">
        <f t="shared" si="3"/>
        <v>-1</v>
      </c>
    </row>
    <row r="31" spans="1:21" s="3" customFormat="1" ht="25.4" hidden="1" customHeight="1">
      <c r="A31" s="3" t="s">
        <v>498</v>
      </c>
      <c r="B31" s="3" t="s">
        <v>54</v>
      </c>
      <c r="D31" s="26" t="s">
        <v>499</v>
      </c>
      <c r="E31" s="43"/>
      <c r="F31" s="43"/>
      <c r="G31" s="43"/>
      <c r="H31" s="43"/>
      <c r="I31" s="43"/>
      <c r="J31" s="61"/>
      <c r="K31" s="61"/>
      <c r="L31" s="61"/>
      <c r="M31" s="61"/>
      <c r="N31" s="61"/>
      <c r="O31" s="61"/>
      <c r="P31" s="61"/>
      <c r="Q31" s="41">
        <f t="shared" si="2"/>
        <v>0</v>
      </c>
      <c r="R31" s="3">
        <f>Q31/Summary!$Q$16</f>
        <v>0</v>
      </c>
      <c r="T31" s="35"/>
      <c r="U31" s="40">
        <f t="shared" si="3"/>
        <v>-1</v>
      </c>
    </row>
    <row r="32" spans="1:21" s="3" customFormat="1" ht="25.4" hidden="1" customHeight="1">
      <c r="A32" s="3" t="s">
        <v>500</v>
      </c>
      <c r="B32" s="3" t="s">
        <v>54</v>
      </c>
      <c r="D32" s="26" t="s">
        <v>501</v>
      </c>
      <c r="E32" s="43"/>
      <c r="F32" s="43"/>
      <c r="G32" s="43"/>
      <c r="H32" s="43"/>
      <c r="I32" s="43"/>
      <c r="J32" s="61"/>
      <c r="K32" s="61"/>
      <c r="L32" s="61"/>
      <c r="M32" s="61"/>
      <c r="N32" s="61"/>
      <c r="O32" s="61"/>
      <c r="P32" s="61"/>
      <c r="Q32" s="41">
        <f t="shared" si="2"/>
        <v>0</v>
      </c>
      <c r="R32" s="3">
        <f>Q32/Summary!$Q$16</f>
        <v>0</v>
      </c>
      <c r="T32" s="35"/>
      <c r="U32" s="40">
        <f t="shared" si="3"/>
        <v>-1</v>
      </c>
    </row>
    <row r="33" spans="1:21" s="3" customFormat="1" ht="25.4" hidden="1" customHeight="1">
      <c r="A33" s="3" t="s">
        <v>502</v>
      </c>
      <c r="B33" s="3" t="s">
        <v>54</v>
      </c>
      <c r="D33" s="26" t="s">
        <v>503</v>
      </c>
      <c r="E33" s="43"/>
      <c r="F33" s="43"/>
      <c r="G33" s="43"/>
      <c r="H33" s="43"/>
      <c r="I33" s="43"/>
      <c r="J33" s="61"/>
      <c r="K33" s="61"/>
      <c r="L33" s="61"/>
      <c r="M33" s="61"/>
      <c r="N33" s="61"/>
      <c r="O33" s="61"/>
      <c r="P33" s="61"/>
      <c r="Q33" s="41">
        <f t="shared" si="2"/>
        <v>0</v>
      </c>
      <c r="R33" s="3">
        <f>Q33/Summary!$Q$16</f>
        <v>0</v>
      </c>
      <c r="T33" s="35"/>
      <c r="U33" s="40">
        <f t="shared" si="3"/>
        <v>-1</v>
      </c>
    </row>
    <row r="34" spans="1:21" s="3" customFormat="1" ht="25.4" hidden="1" customHeight="1">
      <c r="A34" s="3" t="s">
        <v>504</v>
      </c>
      <c r="B34" s="3" t="s">
        <v>54</v>
      </c>
      <c r="D34" s="26" t="s">
        <v>505</v>
      </c>
      <c r="E34" s="43"/>
      <c r="F34" s="43"/>
      <c r="G34" s="43"/>
      <c r="H34" s="43"/>
      <c r="I34" s="43"/>
      <c r="J34" s="61"/>
      <c r="K34" s="61"/>
      <c r="L34" s="61"/>
      <c r="M34" s="61"/>
      <c r="N34" s="61"/>
      <c r="O34" s="61"/>
      <c r="P34" s="61"/>
      <c r="Q34" s="41">
        <f t="shared" si="2"/>
        <v>0</v>
      </c>
      <c r="R34" s="3">
        <f>Q34/Summary!$Q$16</f>
        <v>0</v>
      </c>
      <c r="T34" s="35"/>
      <c r="U34" s="40">
        <f t="shared" si="3"/>
        <v>-1</v>
      </c>
    </row>
    <row r="35" spans="1:21" s="3" customFormat="1" ht="25.4" hidden="1" customHeight="1">
      <c r="A35" s="3" t="s">
        <v>506</v>
      </c>
      <c r="B35" s="3" t="s">
        <v>54</v>
      </c>
      <c r="D35" s="26" t="s">
        <v>507</v>
      </c>
      <c r="E35" s="43"/>
      <c r="F35" s="43"/>
      <c r="G35" s="43"/>
      <c r="H35" s="43"/>
      <c r="I35" s="43"/>
      <c r="J35" s="61"/>
      <c r="K35" s="61"/>
      <c r="L35" s="61"/>
      <c r="M35" s="61"/>
      <c r="N35" s="61"/>
      <c r="O35" s="61"/>
      <c r="P35" s="61"/>
      <c r="Q35" s="41">
        <f t="shared" si="2"/>
        <v>0</v>
      </c>
      <c r="R35" s="3">
        <f>Q35/Summary!$Q$16</f>
        <v>0</v>
      </c>
      <c r="T35" s="35"/>
      <c r="U35" s="40">
        <f t="shared" si="3"/>
        <v>-1</v>
      </c>
    </row>
    <row r="36" spans="1:21" s="3" customFormat="1" ht="25.4" hidden="1" customHeight="1">
      <c r="A36" s="3" t="s">
        <v>508</v>
      </c>
      <c r="B36" s="3" t="s">
        <v>54</v>
      </c>
      <c r="D36" s="26" t="s">
        <v>509</v>
      </c>
      <c r="E36" s="43"/>
      <c r="F36" s="43"/>
      <c r="G36" s="43"/>
      <c r="H36" s="43"/>
      <c r="I36" s="43"/>
      <c r="J36" s="61"/>
      <c r="K36" s="61"/>
      <c r="L36" s="61"/>
      <c r="M36" s="61"/>
      <c r="N36" s="61"/>
      <c r="O36" s="61"/>
      <c r="P36" s="61"/>
      <c r="Q36" s="41">
        <f t="shared" si="2"/>
        <v>0</v>
      </c>
      <c r="R36" s="3">
        <f>Q36/Summary!$Q$16</f>
        <v>0</v>
      </c>
      <c r="T36" s="35"/>
      <c r="U36" s="40">
        <f t="shared" si="3"/>
        <v>-1</v>
      </c>
    </row>
    <row r="37" spans="1:21" s="3" customFormat="1" ht="25.4" hidden="1" customHeight="1">
      <c r="A37" s="3" t="s">
        <v>510</v>
      </c>
      <c r="B37" s="3" t="s">
        <v>54</v>
      </c>
      <c r="D37" s="26" t="s">
        <v>511</v>
      </c>
      <c r="E37" s="43"/>
      <c r="F37" s="43"/>
      <c r="G37" s="43"/>
      <c r="H37" s="43"/>
      <c r="I37" s="43"/>
      <c r="J37" s="61"/>
      <c r="K37" s="61"/>
      <c r="L37" s="61"/>
      <c r="M37" s="61"/>
      <c r="N37" s="61"/>
      <c r="O37" s="61"/>
      <c r="P37" s="61"/>
      <c r="Q37" s="41">
        <f t="shared" si="2"/>
        <v>0</v>
      </c>
      <c r="R37" s="3">
        <f>Q37/Summary!$Q$16</f>
        <v>0</v>
      </c>
      <c r="T37" s="35"/>
      <c r="U37" s="40">
        <f t="shared" si="3"/>
        <v>-1</v>
      </c>
    </row>
    <row r="38" spans="1:21" s="3" customFormat="1" ht="25.4" hidden="1" customHeight="1">
      <c r="A38" s="3" t="s">
        <v>512</v>
      </c>
      <c r="B38" s="3" t="s">
        <v>54</v>
      </c>
      <c r="D38" s="26" t="s">
        <v>513</v>
      </c>
      <c r="E38" s="43"/>
      <c r="F38" s="43"/>
      <c r="G38" s="43"/>
      <c r="H38" s="43"/>
      <c r="I38" s="43"/>
      <c r="J38" s="61"/>
      <c r="K38" s="61"/>
      <c r="L38" s="61"/>
      <c r="M38" s="61"/>
      <c r="N38" s="61"/>
      <c r="O38" s="61"/>
      <c r="P38" s="61"/>
      <c r="Q38" s="41">
        <f t="shared" si="2"/>
        <v>0</v>
      </c>
      <c r="R38" s="3">
        <f>Q38/Summary!$Q$16</f>
        <v>0</v>
      </c>
      <c r="T38" s="35"/>
      <c r="U38" s="40">
        <f t="shared" si="3"/>
        <v>-1</v>
      </c>
    </row>
    <row r="39" spans="1:21" s="3" customFormat="1" ht="25.4" hidden="1" customHeight="1">
      <c r="A39" s="3" t="s">
        <v>514</v>
      </c>
      <c r="B39" s="3" t="s">
        <v>54</v>
      </c>
      <c r="D39" s="26" t="s">
        <v>515</v>
      </c>
      <c r="E39" s="43"/>
      <c r="F39" s="43"/>
      <c r="G39" s="43"/>
      <c r="H39" s="43"/>
      <c r="I39" s="43"/>
      <c r="J39" s="61"/>
      <c r="K39" s="61"/>
      <c r="L39" s="61"/>
      <c r="M39" s="61"/>
      <c r="N39" s="61"/>
      <c r="O39" s="61"/>
      <c r="P39" s="61"/>
      <c r="Q39" s="41">
        <f t="shared" si="2"/>
        <v>0</v>
      </c>
      <c r="R39" s="3">
        <f>Q39/Summary!$Q$16</f>
        <v>0</v>
      </c>
      <c r="T39" s="35"/>
      <c r="U39" s="40">
        <f t="shared" si="3"/>
        <v>-1</v>
      </c>
    </row>
    <row r="40" spans="1:21" s="3" customFormat="1" ht="25.4" hidden="1" customHeight="1">
      <c r="A40" s="3" t="s">
        <v>516</v>
      </c>
      <c r="B40" s="3" t="s">
        <v>54</v>
      </c>
      <c r="D40" s="26" t="s">
        <v>517</v>
      </c>
      <c r="E40" s="43"/>
      <c r="F40" s="43"/>
      <c r="G40" s="43"/>
      <c r="H40" s="43"/>
      <c r="I40" s="43"/>
      <c r="J40" s="61"/>
      <c r="K40" s="61"/>
      <c r="L40" s="61"/>
      <c r="M40" s="61"/>
      <c r="N40" s="61"/>
      <c r="O40" s="61"/>
      <c r="P40" s="61"/>
      <c r="Q40" s="41">
        <f t="shared" si="2"/>
        <v>0</v>
      </c>
      <c r="R40" s="3">
        <f>Q40/Summary!$Q$16</f>
        <v>0</v>
      </c>
      <c r="T40" s="35"/>
      <c r="U40" s="40">
        <f t="shared" si="3"/>
        <v>-1</v>
      </c>
    </row>
    <row r="41" spans="1:21" s="3" customFormat="1" ht="25.4" hidden="1" customHeight="1">
      <c r="A41" s="3" t="s">
        <v>518</v>
      </c>
      <c r="B41" s="3" t="s">
        <v>54</v>
      </c>
      <c r="D41" s="26" t="s">
        <v>519</v>
      </c>
      <c r="E41" s="43"/>
      <c r="F41" s="43"/>
      <c r="G41" s="43"/>
      <c r="H41" s="43"/>
      <c r="I41" s="43"/>
      <c r="J41" s="61"/>
      <c r="K41" s="61"/>
      <c r="L41" s="61"/>
      <c r="M41" s="61"/>
      <c r="N41" s="61"/>
      <c r="O41" s="61"/>
      <c r="P41" s="61"/>
      <c r="Q41" s="41">
        <f t="shared" si="2"/>
        <v>0</v>
      </c>
      <c r="R41" s="3">
        <f>Q41/Summary!$Q$16</f>
        <v>0</v>
      </c>
      <c r="T41" s="35"/>
      <c r="U41" s="40">
        <f t="shared" si="3"/>
        <v>-1</v>
      </c>
    </row>
    <row r="42" spans="1:21" s="3" customFormat="1" ht="25.4" customHeight="1">
      <c r="A42" s="3" t="s">
        <v>520</v>
      </c>
      <c r="B42" s="3" t="s">
        <v>54</v>
      </c>
      <c r="D42" s="26" t="s">
        <v>521</v>
      </c>
      <c r="E42" s="43"/>
      <c r="F42" s="43"/>
      <c r="G42" s="43"/>
      <c r="H42" s="43"/>
      <c r="I42" s="43"/>
      <c r="J42" s="61"/>
      <c r="K42" s="61"/>
      <c r="L42" s="61"/>
      <c r="M42" s="61"/>
      <c r="N42" s="61"/>
      <c r="O42" s="61"/>
      <c r="P42" s="61"/>
      <c r="Q42" s="41">
        <f t="shared" si="2"/>
        <v>0</v>
      </c>
      <c r="R42" s="3">
        <f>Q42/Summary!$Q$16</f>
        <v>0</v>
      </c>
      <c r="T42" s="35"/>
      <c r="U42" s="40">
        <f t="shared" si="3"/>
        <v>-1</v>
      </c>
    </row>
    <row r="43" spans="1:21" s="3" customFormat="1" ht="25.4" customHeight="1">
      <c r="A43" s="3" t="s">
        <v>522</v>
      </c>
      <c r="B43" s="3" t="s">
        <v>54</v>
      </c>
      <c r="D43" s="26" t="s">
        <v>1262</v>
      </c>
      <c r="E43" s="43">
        <f>12*E196</f>
        <v>180</v>
      </c>
      <c r="F43" s="43">
        <f t="shared" ref="F43:P43" si="4">12*F196</f>
        <v>180</v>
      </c>
      <c r="G43" s="43">
        <f t="shared" si="4"/>
        <v>180</v>
      </c>
      <c r="H43" s="43">
        <f t="shared" si="4"/>
        <v>180</v>
      </c>
      <c r="I43" s="43">
        <f t="shared" si="4"/>
        <v>180</v>
      </c>
      <c r="J43" s="43">
        <f t="shared" si="4"/>
        <v>180</v>
      </c>
      <c r="K43" s="43">
        <f t="shared" si="4"/>
        <v>180</v>
      </c>
      <c r="L43" s="43">
        <f t="shared" si="4"/>
        <v>180</v>
      </c>
      <c r="M43" s="43">
        <f t="shared" si="4"/>
        <v>180</v>
      </c>
      <c r="N43" s="43">
        <f t="shared" si="4"/>
        <v>180</v>
      </c>
      <c r="O43" s="43">
        <f t="shared" si="4"/>
        <v>180</v>
      </c>
      <c r="P43" s="43">
        <f t="shared" si="4"/>
        <v>180</v>
      </c>
      <c r="Q43" s="41">
        <f t="shared" si="2"/>
        <v>2160</v>
      </c>
      <c r="R43" s="3">
        <f>Q43/Summary!$Q$16</f>
        <v>2.7118563444120229E-5</v>
      </c>
      <c r="T43" s="35"/>
      <c r="U43" s="40">
        <f t="shared" si="3"/>
        <v>-1</v>
      </c>
    </row>
    <row r="44" spans="1:21" s="3" customFormat="1" ht="25.4" customHeight="1">
      <c r="A44" s="3" t="s">
        <v>524</v>
      </c>
      <c r="B44" s="3" t="s">
        <v>54</v>
      </c>
      <c r="D44" s="26" t="s">
        <v>1270</v>
      </c>
      <c r="E44" s="43"/>
      <c r="F44" s="43"/>
      <c r="G44" s="43"/>
      <c r="H44" s="43"/>
      <c r="I44" s="43"/>
      <c r="J44" s="61"/>
      <c r="K44" s="61"/>
      <c r="L44" s="61"/>
      <c r="M44" s="61"/>
      <c r="N44" s="61"/>
      <c r="O44" s="61"/>
      <c r="P44" s="61"/>
      <c r="Q44" s="41">
        <f t="shared" si="2"/>
        <v>0</v>
      </c>
      <c r="R44" s="3">
        <f>Q44/Summary!$Q$16</f>
        <v>0</v>
      </c>
      <c r="T44" s="35"/>
      <c r="U44" s="40">
        <f t="shared" si="3"/>
        <v>-1</v>
      </c>
    </row>
    <row r="45" spans="1:21" s="3" customFormat="1" ht="25.4" customHeight="1">
      <c r="A45" s="3" t="s">
        <v>526</v>
      </c>
      <c r="B45" s="3" t="s">
        <v>54</v>
      </c>
      <c r="D45" s="26" t="s">
        <v>1271</v>
      </c>
      <c r="E45" s="43">
        <v>0</v>
      </c>
      <c r="F45" s="43">
        <v>0</v>
      </c>
      <c r="G45" s="43">
        <v>2000</v>
      </c>
      <c r="H45" s="43">
        <v>0</v>
      </c>
      <c r="I45" s="43">
        <v>0</v>
      </c>
      <c r="J45" s="61">
        <v>2000</v>
      </c>
      <c r="K45" s="61">
        <v>0</v>
      </c>
      <c r="L45" s="61">
        <v>0</v>
      </c>
      <c r="M45" s="61">
        <v>2000</v>
      </c>
      <c r="N45" s="61">
        <v>0</v>
      </c>
      <c r="O45" s="61">
        <v>2000</v>
      </c>
      <c r="P45" s="61">
        <v>0</v>
      </c>
      <c r="Q45" s="41">
        <f t="shared" si="2"/>
        <v>8000</v>
      </c>
      <c r="R45" s="3">
        <f>Q45/Summary!$Q$16</f>
        <v>1.0043912386711195E-4</v>
      </c>
      <c r="T45" s="35"/>
      <c r="U45" s="40">
        <f t="shared" si="3"/>
        <v>-1</v>
      </c>
    </row>
    <row r="46" spans="1:21" s="3" customFormat="1" ht="25.4" customHeight="1">
      <c r="A46" s="3" t="s">
        <v>528</v>
      </c>
      <c r="B46" s="3" t="s">
        <v>54</v>
      </c>
      <c r="D46" s="26" t="s">
        <v>1272</v>
      </c>
      <c r="E46" s="43"/>
      <c r="F46" s="43"/>
      <c r="G46" s="43"/>
      <c r="H46" s="43"/>
      <c r="I46" s="43"/>
      <c r="J46" s="61"/>
      <c r="K46" s="61"/>
      <c r="L46" s="61"/>
      <c r="M46" s="61"/>
      <c r="N46" s="61"/>
      <c r="O46" s="61"/>
      <c r="P46" s="61"/>
      <c r="Q46" s="41">
        <f t="shared" si="2"/>
        <v>0</v>
      </c>
      <c r="R46" s="3">
        <f>Q46/Summary!$Q$16</f>
        <v>0</v>
      </c>
      <c r="T46" s="35"/>
      <c r="U46" s="40">
        <f t="shared" si="3"/>
        <v>-1</v>
      </c>
    </row>
    <row r="47" spans="1:21" s="3" customFormat="1" ht="25.4" customHeight="1">
      <c r="A47" s="3" t="s">
        <v>530</v>
      </c>
      <c r="B47" s="3" t="s">
        <v>54</v>
      </c>
      <c r="D47" s="26" t="s">
        <v>1273</v>
      </c>
      <c r="E47" s="43"/>
      <c r="F47" s="43"/>
      <c r="G47" s="43"/>
      <c r="H47" s="43"/>
      <c r="I47" s="43"/>
      <c r="J47" s="61"/>
      <c r="K47" s="61"/>
      <c r="L47" s="61"/>
      <c r="M47" s="61"/>
      <c r="N47" s="61"/>
      <c r="O47" s="61"/>
      <c r="P47" s="61"/>
      <c r="Q47" s="41">
        <f t="shared" si="2"/>
        <v>0</v>
      </c>
      <c r="R47" s="3">
        <f>Q47/Summary!$Q$16</f>
        <v>0</v>
      </c>
      <c r="T47" s="35"/>
      <c r="U47" s="40">
        <f t="shared" si="3"/>
        <v>-1</v>
      </c>
    </row>
    <row r="48" spans="1:21" s="3" customFormat="1" ht="25.4" customHeight="1">
      <c r="A48" s="3" t="s">
        <v>532</v>
      </c>
      <c r="B48" s="3" t="s">
        <v>54</v>
      </c>
      <c r="D48" s="26" t="s">
        <v>1274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88000</v>
      </c>
      <c r="Q48" s="41">
        <f t="shared" si="2"/>
        <v>88000</v>
      </c>
      <c r="R48" s="3">
        <f>Q48/Summary!$Q$16</f>
        <v>1.1048303625382314E-3</v>
      </c>
      <c r="T48" s="35"/>
      <c r="U48" s="40">
        <f t="shared" si="3"/>
        <v>-1</v>
      </c>
    </row>
    <row r="49" spans="1:21" s="3" customFormat="1" ht="25.4" customHeight="1">
      <c r="A49" s="3" t="s">
        <v>534</v>
      </c>
      <c r="B49" s="3" t="s">
        <v>54</v>
      </c>
      <c r="D49" s="26" t="s">
        <v>1127</v>
      </c>
      <c r="E49" s="43"/>
      <c r="F49" s="43"/>
      <c r="G49" s="43"/>
      <c r="H49" s="43"/>
      <c r="I49" s="43"/>
      <c r="J49" s="61"/>
      <c r="K49" s="61"/>
      <c r="L49" s="61"/>
      <c r="M49" s="61"/>
      <c r="N49" s="61"/>
      <c r="O49" s="61"/>
      <c r="P49" s="61"/>
      <c r="Q49" s="41">
        <f t="shared" si="2"/>
        <v>0</v>
      </c>
      <c r="R49" s="3">
        <f>Q49/Summary!$Q$16</f>
        <v>0</v>
      </c>
      <c r="T49" s="35"/>
      <c r="U49" s="40">
        <f t="shared" si="3"/>
        <v>-1</v>
      </c>
    </row>
    <row r="50" spans="1:21" s="3" customFormat="1" ht="25.4" customHeight="1">
      <c r="A50" s="3" t="s">
        <v>536</v>
      </c>
      <c r="B50" s="3" t="s">
        <v>54</v>
      </c>
      <c r="D50" s="26" t="s">
        <v>1275</v>
      </c>
      <c r="E50" s="43"/>
      <c r="F50" s="43"/>
      <c r="G50" s="43"/>
      <c r="H50" s="43"/>
      <c r="I50" s="43"/>
      <c r="J50" s="61"/>
      <c r="K50" s="61"/>
      <c r="L50" s="61"/>
      <c r="M50" s="61"/>
      <c r="N50" s="61"/>
      <c r="O50" s="61"/>
      <c r="P50" s="61"/>
      <c r="Q50" s="41">
        <f t="shared" si="2"/>
        <v>0</v>
      </c>
      <c r="R50" s="3">
        <f>Q50/Summary!$Q$16</f>
        <v>0</v>
      </c>
      <c r="T50" s="35"/>
      <c r="U50" s="40">
        <f t="shared" si="3"/>
        <v>-1</v>
      </c>
    </row>
    <row r="51" spans="1:21" s="3" customFormat="1" ht="25.4" customHeight="1">
      <c r="A51" s="3" t="s">
        <v>538</v>
      </c>
      <c r="B51" s="3" t="s">
        <v>54</v>
      </c>
      <c r="D51" s="26" t="s">
        <v>1276</v>
      </c>
      <c r="E51" s="43"/>
      <c r="F51" s="43"/>
      <c r="G51" s="43"/>
      <c r="H51" s="43"/>
      <c r="I51" s="43"/>
      <c r="J51" s="61"/>
      <c r="K51" s="61"/>
      <c r="L51" s="61"/>
      <c r="M51" s="61"/>
      <c r="N51" s="61"/>
      <c r="O51" s="61"/>
      <c r="P51" s="61"/>
      <c r="Q51" s="41">
        <f t="shared" si="2"/>
        <v>0</v>
      </c>
      <c r="R51" s="3">
        <f>Q51/Summary!$Q$16</f>
        <v>0</v>
      </c>
      <c r="T51" s="35"/>
      <c r="U51" s="40">
        <f t="shared" si="3"/>
        <v>-1</v>
      </c>
    </row>
    <row r="52" spans="1:21" s="3" customFormat="1" ht="25.4" hidden="1" customHeight="1">
      <c r="A52" s="3" t="s">
        <v>540</v>
      </c>
      <c r="B52" s="3" t="s">
        <v>54</v>
      </c>
      <c r="D52" s="26" t="s">
        <v>1277</v>
      </c>
      <c r="E52" s="43"/>
      <c r="F52" s="43"/>
      <c r="G52" s="43"/>
      <c r="H52" s="43"/>
      <c r="I52" s="43"/>
      <c r="J52" s="61"/>
      <c r="K52" s="61"/>
      <c r="L52" s="61"/>
      <c r="M52" s="61"/>
      <c r="N52" s="61"/>
      <c r="O52" s="61"/>
      <c r="P52" s="61"/>
      <c r="Q52" s="41">
        <f t="shared" si="2"/>
        <v>0</v>
      </c>
      <c r="R52" s="3">
        <f>Q52/Summary!$Q$16</f>
        <v>0</v>
      </c>
      <c r="T52" s="35"/>
      <c r="U52" s="40">
        <f t="shared" si="3"/>
        <v>-1</v>
      </c>
    </row>
    <row r="53" spans="1:21" s="3" customFormat="1" ht="25.4" hidden="1" customHeight="1">
      <c r="A53" s="3" t="s">
        <v>542</v>
      </c>
      <c r="B53" s="3" t="s">
        <v>54</v>
      </c>
      <c r="D53" s="26" t="s">
        <v>1278</v>
      </c>
      <c r="E53" s="43"/>
      <c r="F53" s="43"/>
      <c r="G53" s="43"/>
      <c r="H53" s="43"/>
      <c r="I53" s="43"/>
      <c r="J53" s="61"/>
      <c r="K53" s="61"/>
      <c r="L53" s="61"/>
      <c r="M53" s="61"/>
      <c r="N53" s="61"/>
      <c r="O53" s="61"/>
      <c r="P53" s="61"/>
      <c r="Q53" s="41">
        <f t="shared" si="2"/>
        <v>0</v>
      </c>
      <c r="R53" s="3">
        <f>Q53/Summary!$Q$16</f>
        <v>0</v>
      </c>
      <c r="T53" s="35"/>
      <c r="U53" s="40">
        <f t="shared" ref="U53:U84" si="5">-IF(T53&lt;&gt;0,(Q53-T53)/T53,1)</f>
        <v>-1</v>
      </c>
    </row>
    <row r="54" spans="1:21" s="3" customFormat="1" ht="25.4" hidden="1" customHeight="1">
      <c r="A54" s="3" t="s">
        <v>544</v>
      </c>
      <c r="B54" s="3" t="s">
        <v>54</v>
      </c>
      <c r="D54" s="26" t="s">
        <v>1279</v>
      </c>
      <c r="E54" s="43"/>
      <c r="F54" s="43"/>
      <c r="G54" s="43"/>
      <c r="H54" s="43"/>
      <c r="I54" s="43"/>
      <c r="J54" s="61"/>
      <c r="K54" s="61"/>
      <c r="L54" s="61"/>
      <c r="M54" s="61"/>
      <c r="N54" s="61"/>
      <c r="O54" s="61"/>
      <c r="P54" s="61"/>
      <c r="Q54" s="41">
        <f t="shared" si="2"/>
        <v>0</v>
      </c>
      <c r="R54" s="3">
        <f>Q54/Summary!$Q$16</f>
        <v>0</v>
      </c>
      <c r="T54" s="35"/>
      <c r="U54" s="40">
        <f t="shared" si="5"/>
        <v>-1</v>
      </c>
    </row>
    <row r="55" spans="1:21" s="3" customFormat="1" ht="25.4" hidden="1" customHeight="1">
      <c r="A55" s="3" t="s">
        <v>546</v>
      </c>
      <c r="B55" s="3" t="s">
        <v>54</v>
      </c>
      <c r="D55" s="26" t="s">
        <v>1280</v>
      </c>
      <c r="E55" s="43"/>
      <c r="F55" s="43"/>
      <c r="G55" s="43"/>
      <c r="H55" s="43"/>
      <c r="I55" s="43"/>
      <c r="J55" s="61"/>
      <c r="K55" s="61"/>
      <c r="L55" s="61"/>
      <c r="M55" s="61"/>
      <c r="N55" s="61"/>
      <c r="O55" s="61"/>
      <c r="P55" s="61"/>
      <c r="Q55" s="41">
        <f t="shared" si="2"/>
        <v>0</v>
      </c>
      <c r="R55" s="3">
        <f>Q55/Summary!$Q$16</f>
        <v>0</v>
      </c>
      <c r="T55" s="35"/>
      <c r="U55" s="40">
        <f t="shared" si="5"/>
        <v>-1</v>
      </c>
    </row>
    <row r="56" spans="1:21" s="3" customFormat="1" ht="25.4" hidden="1" customHeight="1">
      <c r="A56" s="3" t="s">
        <v>548</v>
      </c>
      <c r="B56" s="3" t="s">
        <v>54</v>
      </c>
      <c r="D56" s="26" t="s">
        <v>1227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1">
        <f t="shared" si="2"/>
        <v>0</v>
      </c>
      <c r="R56" s="3">
        <f>Q56/Summary!$Q$16</f>
        <v>0</v>
      </c>
      <c r="T56" s="35"/>
      <c r="U56" s="40">
        <f t="shared" si="5"/>
        <v>-1</v>
      </c>
    </row>
    <row r="57" spans="1:21" s="3" customFormat="1" ht="25.4" hidden="1" customHeight="1">
      <c r="A57" s="3" t="s">
        <v>550</v>
      </c>
      <c r="B57" s="3" t="s">
        <v>54</v>
      </c>
      <c r="D57" s="26" t="s">
        <v>1281</v>
      </c>
      <c r="E57" s="43"/>
      <c r="F57" s="43"/>
      <c r="G57" s="43"/>
      <c r="H57" s="43"/>
      <c r="I57" s="43"/>
      <c r="J57" s="61"/>
      <c r="K57" s="61"/>
      <c r="L57" s="61"/>
      <c r="M57" s="61"/>
      <c r="N57" s="61"/>
      <c r="O57" s="61"/>
      <c r="P57" s="61"/>
      <c r="Q57" s="41">
        <f t="shared" si="2"/>
        <v>0</v>
      </c>
      <c r="R57" s="3">
        <f>Q57/Summary!$Q$16</f>
        <v>0</v>
      </c>
      <c r="T57" s="35"/>
      <c r="U57" s="40">
        <f t="shared" si="5"/>
        <v>-1</v>
      </c>
    </row>
    <row r="58" spans="1:21" s="3" customFormat="1" ht="25.4" hidden="1" customHeight="1">
      <c r="A58" s="3" t="s">
        <v>552</v>
      </c>
      <c r="B58" s="3" t="s">
        <v>54</v>
      </c>
      <c r="D58" s="26" t="s">
        <v>1282</v>
      </c>
      <c r="E58" s="43"/>
      <c r="F58" s="43"/>
      <c r="G58" s="43"/>
      <c r="H58" s="43"/>
      <c r="I58" s="43"/>
      <c r="J58" s="61"/>
      <c r="K58" s="61"/>
      <c r="L58" s="61"/>
      <c r="M58" s="61"/>
      <c r="N58" s="61"/>
      <c r="O58" s="61"/>
      <c r="P58" s="61"/>
      <c r="Q58" s="41">
        <f t="shared" si="2"/>
        <v>0</v>
      </c>
      <c r="R58" s="3">
        <f>Q58/Summary!$Q$16</f>
        <v>0</v>
      </c>
      <c r="T58" s="35"/>
      <c r="U58" s="40">
        <f t="shared" si="5"/>
        <v>-1</v>
      </c>
    </row>
    <row r="59" spans="1:21" s="3" customFormat="1" ht="25.4" hidden="1" customHeight="1">
      <c r="A59" s="3" t="s">
        <v>554</v>
      </c>
      <c r="B59" s="3" t="s">
        <v>54</v>
      </c>
      <c r="D59" s="26" t="s">
        <v>1283</v>
      </c>
      <c r="E59" s="43"/>
      <c r="F59" s="43"/>
      <c r="G59" s="43"/>
      <c r="H59" s="43"/>
      <c r="I59" s="43"/>
      <c r="J59" s="61"/>
      <c r="K59" s="61"/>
      <c r="L59" s="61"/>
      <c r="M59" s="61"/>
      <c r="N59" s="61"/>
      <c r="O59" s="61"/>
      <c r="P59" s="61"/>
      <c r="Q59" s="41">
        <f t="shared" si="2"/>
        <v>0</v>
      </c>
      <c r="R59" s="3">
        <f>Q59/Summary!$Q$16</f>
        <v>0</v>
      </c>
      <c r="T59" s="35"/>
      <c r="U59" s="40">
        <f t="shared" si="5"/>
        <v>-1</v>
      </c>
    </row>
    <row r="60" spans="1:21" s="3" customFormat="1" ht="25.4" hidden="1" customHeight="1">
      <c r="A60" s="3" t="s">
        <v>556</v>
      </c>
      <c r="B60" s="3" t="s">
        <v>54</v>
      </c>
      <c r="D60" s="26" t="s">
        <v>1284</v>
      </c>
      <c r="E60" s="43"/>
      <c r="F60" s="43"/>
      <c r="G60" s="43"/>
      <c r="H60" s="43"/>
      <c r="I60" s="43"/>
      <c r="J60" s="61"/>
      <c r="K60" s="61"/>
      <c r="L60" s="61"/>
      <c r="M60" s="61"/>
      <c r="N60" s="61"/>
      <c r="O60" s="61"/>
      <c r="P60" s="61"/>
      <c r="Q60" s="41">
        <f t="shared" si="2"/>
        <v>0</v>
      </c>
      <c r="R60" s="3">
        <f>Q60/Summary!$Q$16</f>
        <v>0</v>
      </c>
      <c r="T60" s="35"/>
      <c r="U60" s="40">
        <f t="shared" si="5"/>
        <v>-1</v>
      </c>
    </row>
    <row r="61" spans="1:21" s="3" customFormat="1" ht="25.4" hidden="1" customHeight="1">
      <c r="A61" s="3" t="s">
        <v>558</v>
      </c>
      <c r="B61" s="3" t="s">
        <v>54</v>
      </c>
      <c r="D61" s="26" t="s">
        <v>1285</v>
      </c>
      <c r="E61" s="43"/>
      <c r="F61" s="43"/>
      <c r="G61" s="43"/>
      <c r="H61" s="43"/>
      <c r="I61" s="43"/>
      <c r="J61" s="61"/>
      <c r="K61" s="61"/>
      <c r="L61" s="61"/>
      <c r="M61" s="61"/>
      <c r="N61" s="61"/>
      <c r="O61" s="61"/>
      <c r="P61" s="61"/>
      <c r="Q61" s="41">
        <f t="shared" si="2"/>
        <v>0</v>
      </c>
      <c r="R61" s="3">
        <f>Q61/Summary!$Q$16</f>
        <v>0</v>
      </c>
      <c r="T61" s="35"/>
      <c r="U61" s="40">
        <f t="shared" si="5"/>
        <v>-1</v>
      </c>
    </row>
    <row r="62" spans="1:21" s="3" customFormat="1" ht="25.4" hidden="1" customHeight="1">
      <c r="A62" s="3" t="s">
        <v>560</v>
      </c>
      <c r="B62" s="3" t="s">
        <v>54</v>
      </c>
      <c r="D62" s="26" t="s">
        <v>1286</v>
      </c>
      <c r="E62" s="43"/>
      <c r="F62" s="43"/>
      <c r="G62" s="43"/>
      <c r="H62" s="43"/>
      <c r="I62" s="43"/>
      <c r="J62" s="61"/>
      <c r="K62" s="61"/>
      <c r="L62" s="61"/>
      <c r="M62" s="61"/>
      <c r="N62" s="61"/>
      <c r="O62" s="61"/>
      <c r="P62" s="61"/>
      <c r="Q62" s="41">
        <f t="shared" si="2"/>
        <v>0</v>
      </c>
      <c r="R62" s="3">
        <f>Q62/Summary!$Q$16</f>
        <v>0</v>
      </c>
      <c r="T62" s="35"/>
      <c r="U62" s="40">
        <f t="shared" si="5"/>
        <v>-1</v>
      </c>
    </row>
    <row r="63" spans="1:21" s="3" customFormat="1" ht="25.4" hidden="1" customHeight="1">
      <c r="A63" s="3" t="s">
        <v>562</v>
      </c>
      <c r="B63" s="3" t="s">
        <v>54</v>
      </c>
      <c r="D63" s="26" t="s">
        <v>1287</v>
      </c>
      <c r="E63" s="43"/>
      <c r="F63" s="43"/>
      <c r="G63" s="43"/>
      <c r="H63" s="43"/>
      <c r="I63" s="43"/>
      <c r="J63" s="61"/>
      <c r="K63" s="61"/>
      <c r="L63" s="61"/>
      <c r="M63" s="61"/>
      <c r="N63" s="61"/>
      <c r="O63" s="61"/>
      <c r="P63" s="61"/>
      <c r="Q63" s="41">
        <f t="shared" si="2"/>
        <v>0</v>
      </c>
      <c r="R63" s="3">
        <f>Q63/Summary!$Q$16</f>
        <v>0</v>
      </c>
      <c r="T63" s="35"/>
      <c r="U63" s="40">
        <f t="shared" si="5"/>
        <v>-1</v>
      </c>
    </row>
    <row r="64" spans="1:21" s="3" customFormat="1" ht="25.4" hidden="1" customHeight="1">
      <c r="A64" s="3" t="s">
        <v>564</v>
      </c>
      <c r="B64" s="3" t="s">
        <v>54</v>
      </c>
      <c r="D64" s="26" t="s">
        <v>1288</v>
      </c>
      <c r="E64" s="43"/>
      <c r="F64" s="43"/>
      <c r="G64" s="43"/>
      <c r="H64" s="43"/>
      <c r="I64" s="43"/>
      <c r="J64" s="61"/>
      <c r="K64" s="61"/>
      <c r="L64" s="61"/>
      <c r="M64" s="61"/>
      <c r="N64" s="61"/>
      <c r="O64" s="61"/>
      <c r="P64" s="61"/>
      <c r="Q64" s="41">
        <f t="shared" si="2"/>
        <v>0</v>
      </c>
      <c r="R64" s="3">
        <f>Q64/Summary!$Q$16</f>
        <v>0</v>
      </c>
      <c r="T64" s="35"/>
      <c r="U64" s="40">
        <f t="shared" si="5"/>
        <v>-1</v>
      </c>
    </row>
    <row r="65" spans="1:22" s="3" customFormat="1" ht="25.4" hidden="1" customHeight="1">
      <c r="A65" s="3" t="s">
        <v>566</v>
      </c>
      <c r="B65" s="3" t="s">
        <v>54</v>
      </c>
      <c r="D65" s="26" t="s">
        <v>1289</v>
      </c>
      <c r="E65" s="43"/>
      <c r="F65" s="43"/>
      <c r="G65" s="43"/>
      <c r="H65" s="43"/>
      <c r="I65" s="43"/>
      <c r="J65" s="61"/>
      <c r="K65" s="61"/>
      <c r="L65" s="61"/>
      <c r="M65" s="61"/>
      <c r="N65" s="61"/>
      <c r="O65" s="61"/>
      <c r="P65" s="61"/>
      <c r="Q65" s="41">
        <f t="shared" si="2"/>
        <v>0</v>
      </c>
      <c r="R65" s="3">
        <f>Q65/Summary!$Q$16</f>
        <v>0</v>
      </c>
      <c r="T65" s="35"/>
      <c r="U65" s="40">
        <f t="shared" si="5"/>
        <v>-1</v>
      </c>
    </row>
    <row r="66" spans="1:22" s="3" customFormat="1" ht="25.4" hidden="1" customHeight="1">
      <c r="A66" s="3" t="s">
        <v>568</v>
      </c>
      <c r="B66" s="3" t="s">
        <v>54</v>
      </c>
      <c r="D66" s="26" t="s">
        <v>1290</v>
      </c>
      <c r="E66" s="43"/>
      <c r="F66" s="43"/>
      <c r="G66" s="43"/>
      <c r="H66" s="43"/>
      <c r="I66" s="43"/>
      <c r="J66" s="61"/>
      <c r="K66" s="61"/>
      <c r="L66" s="61"/>
      <c r="M66" s="61"/>
      <c r="N66" s="61"/>
      <c r="O66" s="61"/>
      <c r="P66" s="61"/>
      <c r="Q66" s="41">
        <f t="shared" si="2"/>
        <v>0</v>
      </c>
      <c r="R66" s="3">
        <f>Q66/Summary!$Q$16</f>
        <v>0</v>
      </c>
      <c r="T66" s="35"/>
      <c r="U66" s="40">
        <f t="shared" si="5"/>
        <v>-1</v>
      </c>
    </row>
    <row r="67" spans="1:22" s="3" customFormat="1" ht="25.4" customHeight="1">
      <c r="A67" s="3" t="s">
        <v>570</v>
      </c>
      <c r="B67" s="3" t="s">
        <v>54</v>
      </c>
      <c r="D67" s="26" t="s">
        <v>1291</v>
      </c>
      <c r="E67" s="43"/>
      <c r="F67" s="43"/>
      <c r="G67" s="43"/>
      <c r="H67" s="43"/>
      <c r="I67" s="43"/>
      <c r="J67" s="61"/>
      <c r="K67" s="61"/>
      <c r="L67" s="61"/>
      <c r="M67" s="61"/>
      <c r="N67" s="61"/>
      <c r="O67" s="61"/>
      <c r="P67" s="61"/>
      <c r="Q67" s="41">
        <f t="shared" si="2"/>
        <v>0</v>
      </c>
      <c r="R67" s="3">
        <f>Q67/Summary!$Q$16</f>
        <v>0</v>
      </c>
      <c r="T67" s="35"/>
      <c r="U67" s="40">
        <f t="shared" si="5"/>
        <v>-1</v>
      </c>
    </row>
    <row r="68" spans="1:22" s="3" customFormat="1" ht="25.4" customHeight="1">
      <c r="A68" s="3" t="s">
        <v>572</v>
      </c>
      <c r="B68" s="3" t="s">
        <v>54</v>
      </c>
      <c r="D68" s="26" t="s">
        <v>1292</v>
      </c>
      <c r="E68" s="43">
        <v>3000</v>
      </c>
      <c r="F68" s="43">
        <v>1000</v>
      </c>
      <c r="G68" s="43">
        <v>1000</v>
      </c>
      <c r="H68" s="43">
        <v>1000</v>
      </c>
      <c r="I68" s="43">
        <v>1000</v>
      </c>
      <c r="J68" s="61">
        <v>1000</v>
      </c>
      <c r="K68" s="61">
        <v>1000</v>
      </c>
      <c r="L68" s="61">
        <v>3000</v>
      </c>
      <c r="M68" s="61">
        <v>1000</v>
      </c>
      <c r="N68" s="61">
        <v>1000</v>
      </c>
      <c r="O68" s="61">
        <v>2000</v>
      </c>
      <c r="P68" s="61">
        <v>2000</v>
      </c>
      <c r="Q68" s="41">
        <f t="shared" si="2"/>
        <v>18000</v>
      </c>
      <c r="R68" s="3">
        <f>Q68/Summary!$Q$16</f>
        <v>2.2598802870100191E-4</v>
      </c>
      <c r="T68" s="35"/>
      <c r="U68" s="40">
        <f t="shared" si="5"/>
        <v>-1</v>
      </c>
    </row>
    <row r="69" spans="1:22" s="3" customFormat="1" ht="25.4" customHeight="1">
      <c r="A69" s="3" t="s">
        <v>574</v>
      </c>
      <c r="B69" s="3" t="s">
        <v>54</v>
      </c>
      <c r="D69" s="26" t="s">
        <v>1233</v>
      </c>
      <c r="E69" s="43">
        <v>2050</v>
      </c>
      <c r="F69" s="43">
        <v>2050</v>
      </c>
      <c r="G69" s="43">
        <v>2050</v>
      </c>
      <c r="H69" s="43">
        <v>2050</v>
      </c>
      <c r="I69" s="43">
        <v>2050</v>
      </c>
      <c r="J69" s="61">
        <v>2050</v>
      </c>
      <c r="K69" s="61">
        <v>2050</v>
      </c>
      <c r="L69" s="61">
        <v>2050</v>
      </c>
      <c r="M69" s="61">
        <v>2050</v>
      </c>
      <c r="N69" s="61">
        <v>2050</v>
      </c>
      <c r="O69" s="61">
        <v>2050</v>
      </c>
      <c r="P69" s="61">
        <v>2050</v>
      </c>
      <c r="Q69" s="41">
        <f t="shared" si="2"/>
        <v>24600</v>
      </c>
      <c r="R69" s="3">
        <f>Q69/Summary!$Q$16</f>
        <v>3.0885030589136925E-4</v>
      </c>
      <c r="T69" s="35"/>
      <c r="U69" s="40">
        <f t="shared" si="5"/>
        <v>-1</v>
      </c>
      <c r="V69" s="350"/>
    </row>
    <row r="70" spans="1:22" s="3" customFormat="1" ht="25.4" customHeight="1">
      <c r="A70" s="3" t="s">
        <v>576</v>
      </c>
      <c r="B70" s="3" t="s">
        <v>54</v>
      </c>
      <c r="D70" s="26" t="s">
        <v>1234</v>
      </c>
      <c r="E70" s="43">
        <v>4384.5000000000009</v>
      </c>
      <c r="F70" s="43">
        <v>3855.449999999998</v>
      </c>
      <c r="G70" s="43">
        <v>3756.1499999999992</v>
      </c>
      <c r="H70" s="43">
        <v>3851.4000000000015</v>
      </c>
      <c r="I70" s="43">
        <v>3792.7499999999991</v>
      </c>
      <c r="J70" s="61">
        <v>3493.2000000000012</v>
      </c>
      <c r="K70" s="61">
        <v>3394.9499999999994</v>
      </c>
      <c r="L70" s="61">
        <v>3406.9500000000012</v>
      </c>
      <c r="M70" s="61">
        <v>3476.85</v>
      </c>
      <c r="N70" s="61">
        <v>3760.95</v>
      </c>
      <c r="O70" s="61">
        <v>3370.65</v>
      </c>
      <c r="P70" s="61">
        <v>3336.0000000000009</v>
      </c>
      <c r="Q70" s="41">
        <f t="shared" si="2"/>
        <v>43879.8</v>
      </c>
      <c r="R70" s="3">
        <f>Q70/Summary!$Q$16</f>
        <v>5.5090608343301244E-4</v>
      </c>
      <c r="T70" s="35"/>
      <c r="U70" s="40">
        <f t="shared" si="5"/>
        <v>-1</v>
      </c>
      <c r="V70" s="350"/>
    </row>
    <row r="71" spans="1:22" s="3" customFormat="1" ht="25.4" customHeight="1">
      <c r="A71" s="3" t="s">
        <v>578</v>
      </c>
      <c r="B71" s="3" t="s">
        <v>54</v>
      </c>
      <c r="D71" s="26" t="s">
        <v>1235</v>
      </c>
      <c r="E71" s="43"/>
      <c r="F71" s="43"/>
      <c r="G71" s="43"/>
      <c r="H71" s="43"/>
      <c r="I71" s="43"/>
      <c r="J71" s="61"/>
      <c r="K71" s="61"/>
      <c r="L71" s="61"/>
      <c r="M71" s="61"/>
      <c r="N71" s="61"/>
      <c r="O71" s="61"/>
      <c r="P71" s="61"/>
      <c r="Q71" s="41">
        <f t="shared" si="2"/>
        <v>0</v>
      </c>
      <c r="R71" s="3">
        <f>Q71/Summary!$Q$16</f>
        <v>0</v>
      </c>
      <c r="T71" s="35"/>
      <c r="U71" s="40">
        <f t="shared" si="5"/>
        <v>-1</v>
      </c>
    </row>
    <row r="72" spans="1:22" s="3" customFormat="1" ht="25.4" customHeight="1">
      <c r="A72" s="3" t="s">
        <v>580</v>
      </c>
      <c r="B72" s="3" t="s">
        <v>54</v>
      </c>
      <c r="D72" s="26" t="s">
        <v>1236</v>
      </c>
      <c r="E72" s="43">
        <v>200</v>
      </c>
      <c r="F72" s="43">
        <v>200</v>
      </c>
      <c r="G72" s="43">
        <v>200</v>
      </c>
      <c r="H72" s="43">
        <v>200</v>
      </c>
      <c r="I72" s="43">
        <v>200</v>
      </c>
      <c r="J72" s="43">
        <v>200</v>
      </c>
      <c r="K72" s="43">
        <v>200</v>
      </c>
      <c r="L72" s="43">
        <v>200</v>
      </c>
      <c r="M72" s="43">
        <v>200</v>
      </c>
      <c r="N72" s="43">
        <v>200</v>
      </c>
      <c r="O72" s="43">
        <v>200</v>
      </c>
      <c r="P72" s="43">
        <v>200</v>
      </c>
      <c r="Q72" s="41">
        <f t="shared" si="2"/>
        <v>2400</v>
      </c>
      <c r="R72" s="3">
        <f>Q72/Summary!$Q$16</f>
        <v>3.0131737160133587E-5</v>
      </c>
      <c r="T72" s="35"/>
      <c r="U72" s="40">
        <f t="shared" si="5"/>
        <v>-1</v>
      </c>
    </row>
    <row r="73" spans="1:22" s="3" customFormat="1" ht="25.4" customHeight="1">
      <c r="A73" s="3" t="s">
        <v>582</v>
      </c>
      <c r="B73" s="3" t="s">
        <v>54</v>
      </c>
      <c r="D73" s="26" t="s">
        <v>583</v>
      </c>
      <c r="E73" s="43"/>
      <c r="F73" s="43"/>
      <c r="G73" s="43"/>
      <c r="H73" s="43"/>
      <c r="I73" s="43"/>
      <c r="J73" s="61"/>
      <c r="K73" s="61"/>
      <c r="L73" s="61"/>
      <c r="M73" s="61"/>
      <c r="N73" s="61"/>
      <c r="O73" s="61"/>
      <c r="P73" s="61"/>
      <c r="Q73" s="41">
        <f t="shared" si="2"/>
        <v>0</v>
      </c>
      <c r="R73" s="3">
        <f>Q73/Summary!$Q$16</f>
        <v>0</v>
      </c>
      <c r="T73" s="35"/>
      <c r="U73" s="40">
        <f t="shared" si="5"/>
        <v>-1</v>
      </c>
    </row>
    <row r="74" spans="1:22" s="3" customFormat="1" ht="25.4" customHeight="1">
      <c r="A74" s="3" t="s">
        <v>584</v>
      </c>
      <c r="B74" s="3" t="s">
        <v>54</v>
      </c>
      <c r="D74" s="26" t="s">
        <v>585</v>
      </c>
      <c r="E74" s="43">
        <v>9840</v>
      </c>
      <c r="F74" s="43">
        <v>10020</v>
      </c>
      <c r="G74" s="43">
        <v>11280</v>
      </c>
      <c r="H74" s="43">
        <v>11760</v>
      </c>
      <c r="I74" s="43">
        <v>11760</v>
      </c>
      <c r="J74" s="61">
        <v>11280</v>
      </c>
      <c r="K74" s="61">
        <v>12540</v>
      </c>
      <c r="L74" s="61">
        <v>11280</v>
      </c>
      <c r="M74" s="61">
        <v>11760</v>
      </c>
      <c r="N74" s="61">
        <v>12240</v>
      </c>
      <c r="O74" s="61">
        <v>10800</v>
      </c>
      <c r="P74" s="61">
        <v>12240</v>
      </c>
      <c r="Q74" s="41">
        <f t="shared" si="2"/>
        <v>136800</v>
      </c>
      <c r="R74" s="3">
        <f>Q74/Summary!$Q$16</f>
        <v>1.7175090181276143E-3</v>
      </c>
      <c r="T74" s="35"/>
      <c r="U74" s="40">
        <f t="shared" si="5"/>
        <v>-1</v>
      </c>
    </row>
    <row r="75" spans="1:22" s="3" customFormat="1" ht="25.4" customHeight="1">
      <c r="A75" s="3" t="s">
        <v>586</v>
      </c>
      <c r="B75" s="3" t="s">
        <v>54</v>
      </c>
      <c r="D75" s="26" t="s">
        <v>587</v>
      </c>
      <c r="E75" s="43">
        <v>12000</v>
      </c>
      <c r="F75" s="43">
        <v>26086</v>
      </c>
      <c r="G75" s="43">
        <v>25120</v>
      </c>
      <c r="H75" s="43">
        <v>58080</v>
      </c>
      <c r="I75" s="43">
        <v>38360</v>
      </c>
      <c r="J75" s="61">
        <v>61672</v>
      </c>
      <c r="K75" s="61">
        <v>2820</v>
      </c>
      <c r="L75" s="61">
        <v>2066</v>
      </c>
      <c r="M75" s="61">
        <v>26412</v>
      </c>
      <c r="N75" s="61">
        <v>21200</v>
      </c>
      <c r="O75" s="61">
        <v>15472</v>
      </c>
      <c r="P75" s="61">
        <v>1340</v>
      </c>
      <c r="Q75" s="41">
        <f t="shared" si="2"/>
        <v>290628</v>
      </c>
      <c r="R75" s="3">
        <f>Q75/Summary!$Q$16</f>
        <v>3.6488027114063766E-3</v>
      </c>
      <c r="T75" s="35"/>
      <c r="U75" s="40">
        <f t="shared" si="5"/>
        <v>-1</v>
      </c>
    </row>
    <row r="76" spans="1:22" s="3" customFormat="1" ht="25.4" customHeight="1">
      <c r="A76" s="3" t="s">
        <v>588</v>
      </c>
      <c r="B76" s="3" t="s">
        <v>54</v>
      </c>
      <c r="D76" s="26" t="s">
        <v>589</v>
      </c>
      <c r="E76" s="43"/>
      <c r="F76" s="43"/>
      <c r="G76" s="43"/>
      <c r="H76" s="43"/>
      <c r="I76" s="43"/>
      <c r="J76" s="61"/>
      <c r="K76" s="61"/>
      <c r="L76" s="61"/>
      <c r="M76" s="61"/>
      <c r="N76" s="61"/>
      <c r="O76" s="61"/>
      <c r="P76" s="61"/>
      <c r="Q76" s="41">
        <f t="shared" si="2"/>
        <v>0</v>
      </c>
      <c r="R76" s="3">
        <f>Q76/Summary!$Q$16</f>
        <v>0</v>
      </c>
      <c r="T76" s="35"/>
      <c r="U76" s="40">
        <f t="shared" si="5"/>
        <v>-1</v>
      </c>
    </row>
    <row r="77" spans="1:22" s="3" customFormat="1" ht="25.4" customHeight="1">
      <c r="A77" s="3" t="s">
        <v>590</v>
      </c>
      <c r="B77" s="3" t="s">
        <v>54</v>
      </c>
      <c r="D77" s="26" t="s">
        <v>591</v>
      </c>
      <c r="E77" s="43"/>
      <c r="F77" s="43"/>
      <c r="G77" s="43"/>
      <c r="H77" s="43"/>
      <c r="I77" s="43"/>
      <c r="J77" s="61"/>
      <c r="K77" s="61"/>
      <c r="L77" s="61"/>
      <c r="M77" s="61"/>
      <c r="N77" s="61"/>
      <c r="O77" s="61"/>
      <c r="P77" s="61"/>
      <c r="Q77" s="41">
        <f t="shared" si="2"/>
        <v>0</v>
      </c>
      <c r="R77" s="3">
        <f>Q77/Summary!$Q$16</f>
        <v>0</v>
      </c>
      <c r="T77" s="35"/>
      <c r="U77" s="40">
        <f t="shared" si="5"/>
        <v>-1</v>
      </c>
    </row>
    <row r="78" spans="1:22" s="3" customFormat="1" ht="25.4" customHeight="1">
      <c r="A78" s="3" t="s">
        <v>592</v>
      </c>
      <c r="B78" s="3" t="s">
        <v>54</v>
      </c>
      <c r="D78" s="26" t="s">
        <v>593</v>
      </c>
      <c r="E78" s="43">
        <v>6000</v>
      </c>
      <c r="F78" s="43">
        <v>6000</v>
      </c>
      <c r="G78" s="43">
        <v>6000</v>
      </c>
      <c r="H78" s="43">
        <v>6000</v>
      </c>
      <c r="I78" s="43">
        <v>6000</v>
      </c>
      <c r="J78" s="61">
        <v>6000</v>
      </c>
      <c r="K78" s="61">
        <v>6000</v>
      </c>
      <c r="L78" s="61">
        <v>6000</v>
      </c>
      <c r="M78" s="61">
        <v>6000</v>
      </c>
      <c r="N78" s="61">
        <v>6000</v>
      </c>
      <c r="O78" s="61">
        <v>6000</v>
      </c>
      <c r="P78" s="61">
        <v>6000</v>
      </c>
      <c r="Q78" s="41">
        <f t="shared" si="2"/>
        <v>72000</v>
      </c>
      <c r="R78" s="3">
        <f>Q78/Summary!$Q$16</f>
        <v>9.0395211480400763E-4</v>
      </c>
      <c r="T78" s="35"/>
      <c r="U78" s="40">
        <f t="shared" si="5"/>
        <v>-1</v>
      </c>
    </row>
    <row r="79" spans="1:22" s="3" customFormat="1" ht="25.4" customHeight="1">
      <c r="A79" s="3" t="s">
        <v>848</v>
      </c>
      <c r="B79" s="3" t="s">
        <v>54</v>
      </c>
      <c r="D79" s="26" t="s">
        <v>849</v>
      </c>
      <c r="E79" s="43"/>
      <c r="F79" s="43"/>
      <c r="G79" s="43"/>
      <c r="H79" s="43"/>
      <c r="I79" s="43"/>
      <c r="J79" s="61"/>
      <c r="K79" s="61"/>
      <c r="L79" s="61"/>
      <c r="M79" s="61"/>
      <c r="N79" s="61"/>
      <c r="O79" s="61"/>
      <c r="P79" s="61"/>
      <c r="Q79" s="41">
        <f t="shared" si="2"/>
        <v>0</v>
      </c>
      <c r="R79" s="3">
        <f>Q79/Summary!$Q$16</f>
        <v>0</v>
      </c>
      <c r="T79" s="35"/>
      <c r="U79" s="40">
        <f t="shared" si="5"/>
        <v>-1</v>
      </c>
    </row>
    <row r="80" spans="1:22" s="3" customFormat="1" ht="25.4" hidden="1" customHeight="1">
      <c r="A80" s="3" t="s">
        <v>850</v>
      </c>
      <c r="B80" s="3" t="s">
        <v>54</v>
      </c>
      <c r="D80" s="26" t="s">
        <v>851</v>
      </c>
      <c r="E80" s="43"/>
      <c r="F80" s="43"/>
      <c r="G80" s="43"/>
      <c r="H80" s="43"/>
      <c r="I80" s="43"/>
      <c r="J80" s="61"/>
      <c r="K80" s="61"/>
      <c r="L80" s="61"/>
      <c r="M80" s="61"/>
      <c r="N80" s="61"/>
      <c r="O80" s="61"/>
      <c r="P80" s="61"/>
      <c r="Q80" s="41">
        <f t="shared" ref="Q80:Q143" si="6">SUM(E80:P80)</f>
        <v>0</v>
      </c>
      <c r="R80" s="3">
        <f>Q80/Summary!$Q$16</f>
        <v>0</v>
      </c>
      <c r="T80" s="35"/>
      <c r="U80" s="40">
        <f t="shared" si="5"/>
        <v>-1</v>
      </c>
    </row>
    <row r="81" spans="1:21" s="3" customFormat="1" ht="25.4" hidden="1" customHeight="1">
      <c r="A81" s="3" t="s">
        <v>852</v>
      </c>
      <c r="B81" s="3" t="s">
        <v>54</v>
      </c>
      <c r="D81" s="26" t="s">
        <v>853</v>
      </c>
      <c r="E81" s="43"/>
      <c r="F81" s="43"/>
      <c r="G81" s="43"/>
      <c r="H81" s="43"/>
      <c r="I81" s="43"/>
      <c r="J81" s="61"/>
      <c r="K81" s="61"/>
      <c r="L81" s="61"/>
      <c r="M81" s="61"/>
      <c r="N81" s="61"/>
      <c r="O81" s="61"/>
      <c r="P81" s="61"/>
      <c r="Q81" s="41">
        <f t="shared" si="6"/>
        <v>0</v>
      </c>
      <c r="R81" s="3">
        <f>Q81/Summary!$Q$16</f>
        <v>0</v>
      </c>
      <c r="T81" s="35"/>
      <c r="U81" s="40">
        <f t="shared" si="5"/>
        <v>-1</v>
      </c>
    </row>
    <row r="82" spans="1:21" s="3" customFormat="1" ht="25.4" hidden="1" customHeight="1">
      <c r="A82" s="3" t="s">
        <v>854</v>
      </c>
      <c r="B82" s="3" t="s">
        <v>54</v>
      </c>
      <c r="D82" s="26" t="s">
        <v>855</v>
      </c>
      <c r="E82" s="43"/>
      <c r="F82" s="43"/>
      <c r="G82" s="43"/>
      <c r="H82" s="43"/>
      <c r="I82" s="43"/>
      <c r="J82" s="61"/>
      <c r="K82" s="61"/>
      <c r="L82" s="61"/>
      <c r="M82" s="61"/>
      <c r="N82" s="61"/>
      <c r="O82" s="61"/>
      <c r="P82" s="61"/>
      <c r="Q82" s="41">
        <f t="shared" si="6"/>
        <v>0</v>
      </c>
      <c r="R82" s="3">
        <f>Q82/Summary!$Q$16</f>
        <v>0</v>
      </c>
      <c r="T82" s="35"/>
      <c r="U82" s="40">
        <f t="shared" si="5"/>
        <v>-1</v>
      </c>
    </row>
    <row r="83" spans="1:21" s="3" customFormat="1" ht="25.4" hidden="1" customHeight="1">
      <c r="A83" s="3" t="s">
        <v>856</v>
      </c>
      <c r="B83" s="3" t="s">
        <v>54</v>
      </c>
      <c r="D83" s="26" t="s">
        <v>857</v>
      </c>
      <c r="E83" s="43"/>
      <c r="F83" s="43"/>
      <c r="G83" s="43"/>
      <c r="H83" s="43"/>
      <c r="I83" s="43"/>
      <c r="J83" s="61"/>
      <c r="K83" s="61"/>
      <c r="L83" s="61"/>
      <c r="M83" s="61"/>
      <c r="N83" s="61"/>
      <c r="O83" s="61"/>
      <c r="P83" s="61"/>
      <c r="Q83" s="41">
        <f t="shared" si="6"/>
        <v>0</v>
      </c>
      <c r="R83" s="3">
        <f>Q83/Summary!$Q$16</f>
        <v>0</v>
      </c>
      <c r="T83" s="35"/>
      <c r="U83" s="40">
        <f t="shared" si="5"/>
        <v>-1</v>
      </c>
    </row>
    <row r="84" spans="1:21" s="3" customFormat="1" ht="25.4" hidden="1" customHeight="1">
      <c r="A84" s="3" t="s">
        <v>858</v>
      </c>
      <c r="B84" s="3" t="s">
        <v>54</v>
      </c>
      <c r="D84" s="26" t="s">
        <v>859</v>
      </c>
      <c r="E84" s="43"/>
      <c r="F84" s="43"/>
      <c r="G84" s="43"/>
      <c r="H84" s="43"/>
      <c r="I84" s="43"/>
      <c r="J84" s="61"/>
      <c r="K84" s="61"/>
      <c r="L84" s="61"/>
      <c r="M84" s="61"/>
      <c r="N84" s="61"/>
      <c r="O84" s="61"/>
      <c r="P84" s="61"/>
      <c r="Q84" s="41">
        <f t="shared" si="6"/>
        <v>0</v>
      </c>
      <c r="R84" s="3">
        <f>Q84/Summary!$Q$16</f>
        <v>0</v>
      </c>
      <c r="T84" s="35"/>
      <c r="U84" s="40">
        <f t="shared" si="5"/>
        <v>-1</v>
      </c>
    </row>
    <row r="85" spans="1:21" s="3" customFormat="1" ht="25.4" hidden="1" customHeight="1">
      <c r="A85" s="3" t="s">
        <v>860</v>
      </c>
      <c r="B85" s="3" t="s">
        <v>54</v>
      </c>
      <c r="D85" s="26" t="s">
        <v>861</v>
      </c>
      <c r="E85" s="43"/>
      <c r="F85" s="43"/>
      <c r="G85" s="43"/>
      <c r="H85" s="43"/>
      <c r="I85" s="43"/>
      <c r="J85" s="61"/>
      <c r="K85" s="61"/>
      <c r="L85" s="61"/>
      <c r="M85" s="61"/>
      <c r="N85" s="61"/>
      <c r="O85" s="61"/>
      <c r="P85" s="61"/>
      <c r="Q85" s="41">
        <f t="shared" si="6"/>
        <v>0</v>
      </c>
      <c r="R85" s="3">
        <f>Q85/Summary!$Q$16</f>
        <v>0</v>
      </c>
      <c r="T85" s="35"/>
      <c r="U85" s="40">
        <f t="shared" ref="U85:U116" si="7">-IF(T85&lt;&gt;0,(Q85-T85)/T85,1)</f>
        <v>-1</v>
      </c>
    </row>
    <row r="86" spans="1:21" s="3" customFormat="1" ht="25.4" hidden="1" customHeight="1">
      <c r="A86" s="3" t="s">
        <v>862</v>
      </c>
      <c r="B86" s="3" t="s">
        <v>54</v>
      </c>
      <c r="D86" s="26" t="s">
        <v>863</v>
      </c>
      <c r="E86" s="43"/>
      <c r="F86" s="43"/>
      <c r="G86" s="43"/>
      <c r="H86" s="43"/>
      <c r="I86" s="43"/>
      <c r="J86" s="61"/>
      <c r="K86" s="61"/>
      <c r="L86" s="61"/>
      <c r="M86" s="61"/>
      <c r="N86" s="61"/>
      <c r="O86" s="61"/>
      <c r="P86" s="61"/>
      <c r="Q86" s="41">
        <f t="shared" si="6"/>
        <v>0</v>
      </c>
      <c r="R86" s="3">
        <f>Q86/Summary!$Q$16</f>
        <v>0</v>
      </c>
      <c r="T86" s="35"/>
      <c r="U86" s="40">
        <f t="shared" si="7"/>
        <v>-1</v>
      </c>
    </row>
    <row r="87" spans="1:21" s="3" customFormat="1" ht="25.4" hidden="1" customHeight="1">
      <c r="A87" s="3" t="s">
        <v>864</v>
      </c>
      <c r="B87" s="3" t="s">
        <v>54</v>
      </c>
      <c r="D87" s="26" t="s">
        <v>865</v>
      </c>
      <c r="E87" s="43"/>
      <c r="F87" s="43"/>
      <c r="G87" s="43"/>
      <c r="H87" s="43"/>
      <c r="I87" s="43"/>
      <c r="J87" s="61"/>
      <c r="K87" s="61"/>
      <c r="L87" s="61"/>
      <c r="M87" s="61"/>
      <c r="N87" s="61"/>
      <c r="O87" s="61"/>
      <c r="P87" s="61"/>
      <c r="Q87" s="41">
        <f t="shared" si="6"/>
        <v>0</v>
      </c>
      <c r="R87" s="3">
        <f>Q87/Summary!$Q$16</f>
        <v>0</v>
      </c>
      <c r="T87" s="35"/>
      <c r="U87" s="40">
        <f t="shared" si="7"/>
        <v>-1</v>
      </c>
    </row>
    <row r="88" spans="1:21" s="3" customFormat="1" ht="25.4" hidden="1" customHeight="1">
      <c r="A88" s="3" t="s">
        <v>270</v>
      </c>
      <c r="B88" s="3" t="s">
        <v>54</v>
      </c>
      <c r="D88" s="26" t="s">
        <v>271</v>
      </c>
      <c r="E88" s="43"/>
      <c r="F88" s="43"/>
      <c r="G88" s="43"/>
      <c r="H88" s="43"/>
      <c r="I88" s="43"/>
      <c r="J88" s="61"/>
      <c r="K88" s="61"/>
      <c r="L88" s="61"/>
      <c r="M88" s="61"/>
      <c r="N88" s="61"/>
      <c r="O88" s="61"/>
      <c r="P88" s="61"/>
      <c r="Q88" s="41">
        <f t="shared" si="6"/>
        <v>0</v>
      </c>
      <c r="R88" s="3">
        <f>Q88/Summary!$Q$16</f>
        <v>0</v>
      </c>
      <c r="T88" s="35"/>
      <c r="U88" s="40">
        <f t="shared" si="7"/>
        <v>-1</v>
      </c>
    </row>
    <row r="89" spans="1:21" s="3" customFormat="1" ht="25.4" hidden="1" customHeight="1">
      <c r="A89" s="3" t="s">
        <v>866</v>
      </c>
      <c r="B89" s="3" t="s">
        <v>54</v>
      </c>
      <c r="D89" s="26" t="s">
        <v>867</v>
      </c>
      <c r="E89" s="43"/>
      <c r="F89" s="43"/>
      <c r="G89" s="43"/>
      <c r="H89" s="43"/>
      <c r="I89" s="43"/>
      <c r="J89" s="61"/>
      <c r="K89" s="61"/>
      <c r="L89" s="61"/>
      <c r="M89" s="61"/>
      <c r="N89" s="61"/>
      <c r="O89" s="61"/>
      <c r="P89" s="61"/>
      <c r="Q89" s="41">
        <f t="shared" si="6"/>
        <v>0</v>
      </c>
      <c r="R89" s="3">
        <f>Q89/Summary!$Q$16</f>
        <v>0</v>
      </c>
      <c r="T89" s="35"/>
      <c r="U89" s="40">
        <f t="shared" si="7"/>
        <v>-1</v>
      </c>
    </row>
    <row r="90" spans="1:21" s="3" customFormat="1" ht="25.4" hidden="1" customHeight="1">
      <c r="A90" s="3" t="s">
        <v>272</v>
      </c>
      <c r="B90" s="3" t="s">
        <v>54</v>
      </c>
      <c r="D90" s="26" t="s">
        <v>273</v>
      </c>
      <c r="E90" s="43"/>
      <c r="F90" s="43"/>
      <c r="G90" s="43"/>
      <c r="H90" s="43"/>
      <c r="I90" s="43"/>
      <c r="J90" s="61"/>
      <c r="K90" s="61"/>
      <c r="L90" s="61"/>
      <c r="M90" s="61"/>
      <c r="N90" s="61"/>
      <c r="O90" s="61"/>
      <c r="P90" s="61"/>
      <c r="Q90" s="41">
        <f t="shared" si="6"/>
        <v>0</v>
      </c>
      <c r="R90" s="3">
        <f>Q90/Summary!$Q$16</f>
        <v>0</v>
      </c>
      <c r="T90" s="35"/>
      <c r="U90" s="40">
        <f t="shared" si="7"/>
        <v>-1</v>
      </c>
    </row>
    <row r="91" spans="1:21" s="3" customFormat="1" ht="25.4" hidden="1" customHeight="1">
      <c r="A91" s="3" t="s">
        <v>868</v>
      </c>
      <c r="B91" s="3" t="s">
        <v>54</v>
      </c>
      <c r="D91" s="26" t="s">
        <v>869</v>
      </c>
      <c r="E91" s="43"/>
      <c r="F91" s="43"/>
      <c r="G91" s="43"/>
      <c r="H91" s="43"/>
      <c r="I91" s="43"/>
      <c r="J91" s="61"/>
      <c r="K91" s="61"/>
      <c r="L91" s="61"/>
      <c r="M91" s="61"/>
      <c r="N91" s="61"/>
      <c r="O91" s="61"/>
      <c r="P91" s="61"/>
      <c r="Q91" s="41">
        <f t="shared" si="6"/>
        <v>0</v>
      </c>
      <c r="R91" s="3">
        <f>Q91/Summary!$Q$16</f>
        <v>0</v>
      </c>
      <c r="T91" s="35"/>
      <c r="U91" s="40">
        <f t="shared" si="7"/>
        <v>-1</v>
      </c>
    </row>
    <row r="92" spans="1:21" s="3" customFormat="1" ht="25.4" hidden="1" customHeight="1">
      <c r="A92" s="3" t="s">
        <v>870</v>
      </c>
      <c r="B92" s="3" t="s">
        <v>54</v>
      </c>
      <c r="D92" s="26" t="s">
        <v>871</v>
      </c>
      <c r="E92" s="43"/>
      <c r="F92" s="43"/>
      <c r="G92" s="43"/>
      <c r="H92" s="43"/>
      <c r="I92" s="43"/>
      <c r="J92" s="61"/>
      <c r="K92" s="61"/>
      <c r="L92" s="61"/>
      <c r="M92" s="61"/>
      <c r="N92" s="61"/>
      <c r="O92" s="61"/>
      <c r="P92" s="61"/>
      <c r="Q92" s="41">
        <f t="shared" si="6"/>
        <v>0</v>
      </c>
      <c r="R92" s="3">
        <f>Q92/Summary!$Q$16</f>
        <v>0</v>
      </c>
      <c r="T92" s="35"/>
      <c r="U92" s="40">
        <f t="shared" si="7"/>
        <v>-1</v>
      </c>
    </row>
    <row r="93" spans="1:21" s="3" customFormat="1" ht="25.4" hidden="1" customHeight="1">
      <c r="A93" s="3" t="s">
        <v>872</v>
      </c>
      <c r="B93" s="3" t="s">
        <v>54</v>
      </c>
      <c r="D93" s="26" t="s">
        <v>873</v>
      </c>
      <c r="E93" s="43"/>
      <c r="F93" s="43"/>
      <c r="G93" s="43"/>
      <c r="H93" s="43"/>
      <c r="I93" s="43"/>
      <c r="J93" s="61"/>
      <c r="K93" s="61"/>
      <c r="L93" s="61"/>
      <c r="M93" s="61"/>
      <c r="N93" s="61"/>
      <c r="O93" s="61"/>
      <c r="P93" s="61"/>
      <c r="Q93" s="41">
        <f t="shared" si="6"/>
        <v>0</v>
      </c>
      <c r="R93" s="3">
        <f>Q93/Summary!$Q$16</f>
        <v>0</v>
      </c>
      <c r="T93" s="35"/>
      <c r="U93" s="40">
        <f t="shared" si="7"/>
        <v>-1</v>
      </c>
    </row>
    <row r="94" spans="1:21" s="3" customFormat="1" ht="25.4" hidden="1" customHeight="1">
      <c r="A94" s="3" t="s">
        <v>874</v>
      </c>
      <c r="B94" s="3" t="s">
        <v>54</v>
      </c>
      <c r="D94" s="26" t="s">
        <v>875</v>
      </c>
      <c r="E94" s="43"/>
      <c r="F94" s="43"/>
      <c r="G94" s="43"/>
      <c r="H94" s="43"/>
      <c r="I94" s="43"/>
      <c r="J94" s="61"/>
      <c r="K94" s="61"/>
      <c r="L94" s="61"/>
      <c r="M94" s="61"/>
      <c r="N94" s="61"/>
      <c r="O94" s="61"/>
      <c r="P94" s="61"/>
      <c r="Q94" s="41">
        <f t="shared" si="6"/>
        <v>0</v>
      </c>
      <c r="R94" s="3">
        <f>Q94/Summary!$Q$16</f>
        <v>0</v>
      </c>
      <c r="T94" s="35"/>
      <c r="U94" s="40">
        <f t="shared" si="7"/>
        <v>-1</v>
      </c>
    </row>
    <row r="95" spans="1:21" s="3" customFormat="1" ht="25.4" hidden="1" customHeight="1">
      <c r="A95" s="3" t="s">
        <v>876</v>
      </c>
      <c r="B95" s="3" t="s">
        <v>54</v>
      </c>
      <c r="D95" s="26" t="s">
        <v>877</v>
      </c>
      <c r="E95" s="43"/>
      <c r="F95" s="43"/>
      <c r="G95" s="43"/>
      <c r="H95" s="43"/>
      <c r="I95" s="43"/>
      <c r="J95" s="61"/>
      <c r="K95" s="61"/>
      <c r="L95" s="61"/>
      <c r="M95" s="61"/>
      <c r="N95" s="61"/>
      <c r="O95" s="61"/>
      <c r="P95" s="61"/>
      <c r="Q95" s="41">
        <f t="shared" si="6"/>
        <v>0</v>
      </c>
      <c r="R95" s="3">
        <f>Q95/Summary!$Q$16</f>
        <v>0</v>
      </c>
      <c r="T95" s="35"/>
      <c r="U95" s="40">
        <f t="shared" si="7"/>
        <v>-1</v>
      </c>
    </row>
    <row r="96" spans="1:21" s="3" customFormat="1" ht="25.4" hidden="1" customHeight="1">
      <c r="A96" s="3" t="s">
        <v>878</v>
      </c>
      <c r="B96" s="3" t="s">
        <v>54</v>
      </c>
      <c r="D96" s="26" t="s">
        <v>879</v>
      </c>
      <c r="E96" s="43"/>
      <c r="F96" s="43"/>
      <c r="G96" s="43"/>
      <c r="H96" s="43"/>
      <c r="I96" s="43"/>
      <c r="J96" s="61"/>
      <c r="K96" s="61"/>
      <c r="L96" s="61"/>
      <c r="M96" s="61"/>
      <c r="N96" s="61"/>
      <c r="O96" s="61"/>
      <c r="P96" s="61"/>
      <c r="Q96" s="41">
        <f t="shared" si="6"/>
        <v>0</v>
      </c>
      <c r="R96" s="3">
        <f>Q96/Summary!$Q$16</f>
        <v>0</v>
      </c>
      <c r="T96" s="35"/>
      <c r="U96" s="40">
        <f t="shared" si="7"/>
        <v>-1</v>
      </c>
    </row>
    <row r="97" spans="1:21" s="3" customFormat="1" ht="25.4" hidden="1" customHeight="1">
      <c r="A97" s="3" t="s">
        <v>880</v>
      </c>
      <c r="B97" s="3" t="s">
        <v>54</v>
      </c>
      <c r="D97" s="26" t="s">
        <v>881</v>
      </c>
      <c r="E97" s="43"/>
      <c r="F97" s="43"/>
      <c r="G97" s="43"/>
      <c r="H97" s="43"/>
      <c r="I97" s="43"/>
      <c r="J97" s="61"/>
      <c r="K97" s="61"/>
      <c r="L97" s="61"/>
      <c r="M97" s="61"/>
      <c r="N97" s="61"/>
      <c r="O97" s="61"/>
      <c r="P97" s="61"/>
      <c r="Q97" s="41">
        <f t="shared" si="6"/>
        <v>0</v>
      </c>
      <c r="R97" s="3">
        <f>Q97/Summary!$Q$16</f>
        <v>0</v>
      </c>
      <c r="T97" s="35"/>
      <c r="U97" s="40">
        <f t="shared" si="7"/>
        <v>-1</v>
      </c>
    </row>
    <row r="98" spans="1:21" s="3" customFormat="1" ht="25.4" hidden="1" customHeight="1">
      <c r="A98" s="3" t="s">
        <v>882</v>
      </c>
      <c r="B98" s="3" t="s">
        <v>54</v>
      </c>
      <c r="D98" s="26" t="s">
        <v>883</v>
      </c>
      <c r="E98" s="43"/>
      <c r="F98" s="43"/>
      <c r="G98" s="43"/>
      <c r="H98" s="43"/>
      <c r="I98" s="43"/>
      <c r="J98" s="61"/>
      <c r="K98" s="61"/>
      <c r="L98" s="61"/>
      <c r="M98" s="61"/>
      <c r="N98" s="61"/>
      <c r="O98" s="61"/>
      <c r="P98" s="61"/>
      <c r="Q98" s="41">
        <f t="shared" si="6"/>
        <v>0</v>
      </c>
      <c r="R98" s="3">
        <f>Q98/Summary!$Q$16</f>
        <v>0</v>
      </c>
      <c r="T98" s="35"/>
      <c r="U98" s="40">
        <f t="shared" si="7"/>
        <v>-1</v>
      </c>
    </row>
    <row r="99" spans="1:21" s="3" customFormat="1" ht="25.4" hidden="1" customHeight="1">
      <c r="A99" s="3" t="s">
        <v>884</v>
      </c>
      <c r="B99" s="3" t="s">
        <v>54</v>
      </c>
      <c r="D99" s="26" t="s">
        <v>885</v>
      </c>
      <c r="E99" s="43"/>
      <c r="F99" s="43"/>
      <c r="G99" s="43"/>
      <c r="H99" s="43"/>
      <c r="I99" s="43"/>
      <c r="J99" s="61"/>
      <c r="K99" s="61"/>
      <c r="L99" s="61"/>
      <c r="M99" s="61"/>
      <c r="N99" s="61"/>
      <c r="O99" s="61"/>
      <c r="P99" s="61"/>
      <c r="Q99" s="41">
        <f t="shared" si="6"/>
        <v>0</v>
      </c>
      <c r="R99" s="3">
        <f>Q99/Summary!$Q$16</f>
        <v>0</v>
      </c>
      <c r="T99" s="35"/>
      <c r="U99" s="40">
        <f t="shared" si="7"/>
        <v>-1</v>
      </c>
    </row>
    <row r="100" spans="1:21" s="3" customFormat="1" ht="25.4" hidden="1" customHeight="1">
      <c r="A100" s="3" t="s">
        <v>886</v>
      </c>
      <c r="B100" s="3" t="s">
        <v>54</v>
      </c>
      <c r="D100" s="26" t="s">
        <v>887</v>
      </c>
      <c r="E100" s="43"/>
      <c r="F100" s="43"/>
      <c r="G100" s="43"/>
      <c r="H100" s="43"/>
      <c r="I100" s="43"/>
      <c r="J100" s="61"/>
      <c r="K100" s="61"/>
      <c r="L100" s="61"/>
      <c r="M100" s="61"/>
      <c r="N100" s="61"/>
      <c r="O100" s="61"/>
      <c r="P100" s="61"/>
      <c r="Q100" s="41">
        <f t="shared" si="6"/>
        <v>0</v>
      </c>
      <c r="R100" s="3">
        <f>Q100/Summary!$Q$16</f>
        <v>0</v>
      </c>
      <c r="T100" s="35"/>
      <c r="U100" s="40">
        <f t="shared" si="7"/>
        <v>-1</v>
      </c>
    </row>
    <row r="101" spans="1:21" s="3" customFormat="1" ht="25.4" hidden="1" customHeight="1">
      <c r="A101" s="3" t="s">
        <v>888</v>
      </c>
      <c r="B101" s="3" t="s">
        <v>54</v>
      </c>
      <c r="D101" s="26" t="s">
        <v>889</v>
      </c>
      <c r="E101" s="43"/>
      <c r="F101" s="43"/>
      <c r="G101" s="43"/>
      <c r="H101" s="43"/>
      <c r="I101" s="43"/>
      <c r="J101" s="61"/>
      <c r="K101" s="61"/>
      <c r="L101" s="61"/>
      <c r="M101" s="61"/>
      <c r="N101" s="61"/>
      <c r="O101" s="61"/>
      <c r="P101" s="61"/>
      <c r="Q101" s="41">
        <f t="shared" si="6"/>
        <v>0</v>
      </c>
      <c r="R101" s="3">
        <f>Q101/Summary!$Q$16</f>
        <v>0</v>
      </c>
      <c r="T101" s="35"/>
      <c r="U101" s="40">
        <f t="shared" si="7"/>
        <v>-1</v>
      </c>
    </row>
    <row r="102" spans="1:21" s="3" customFormat="1" ht="25.4" hidden="1" customHeight="1">
      <c r="A102" s="3" t="s">
        <v>890</v>
      </c>
      <c r="B102" s="3" t="s">
        <v>54</v>
      </c>
      <c r="D102" s="26" t="s">
        <v>891</v>
      </c>
      <c r="E102" s="43"/>
      <c r="F102" s="43"/>
      <c r="G102" s="43"/>
      <c r="H102" s="43"/>
      <c r="I102" s="43"/>
      <c r="J102" s="61"/>
      <c r="K102" s="61"/>
      <c r="L102" s="61"/>
      <c r="M102" s="61"/>
      <c r="N102" s="61"/>
      <c r="O102" s="61"/>
      <c r="P102" s="61"/>
      <c r="Q102" s="41">
        <f t="shared" si="6"/>
        <v>0</v>
      </c>
      <c r="R102" s="3">
        <f>Q102/Summary!$Q$16</f>
        <v>0</v>
      </c>
      <c r="T102" s="35"/>
      <c r="U102" s="40">
        <f t="shared" si="7"/>
        <v>-1</v>
      </c>
    </row>
    <row r="103" spans="1:21" s="3" customFormat="1" ht="25.4" hidden="1" customHeight="1">
      <c r="A103" s="3" t="s">
        <v>892</v>
      </c>
      <c r="B103" s="3" t="s">
        <v>54</v>
      </c>
      <c r="D103" s="26" t="s">
        <v>893</v>
      </c>
      <c r="E103" s="43"/>
      <c r="F103" s="43"/>
      <c r="G103" s="43"/>
      <c r="H103" s="43"/>
      <c r="I103" s="43"/>
      <c r="J103" s="61"/>
      <c r="K103" s="61"/>
      <c r="L103" s="61"/>
      <c r="M103" s="61"/>
      <c r="N103" s="61"/>
      <c r="O103" s="61"/>
      <c r="P103" s="61"/>
      <c r="Q103" s="41">
        <f t="shared" si="6"/>
        <v>0</v>
      </c>
      <c r="R103" s="3">
        <f>Q103/Summary!$Q$16</f>
        <v>0</v>
      </c>
      <c r="T103" s="35"/>
      <c r="U103" s="40">
        <f t="shared" si="7"/>
        <v>-1</v>
      </c>
    </row>
    <row r="104" spans="1:21" s="3" customFormat="1" ht="25.4" hidden="1" customHeight="1">
      <c r="A104" s="3" t="s">
        <v>894</v>
      </c>
      <c r="B104" s="3" t="s">
        <v>54</v>
      </c>
      <c r="D104" s="26" t="s">
        <v>895</v>
      </c>
      <c r="E104" s="43"/>
      <c r="F104" s="43"/>
      <c r="G104" s="43"/>
      <c r="H104" s="43"/>
      <c r="I104" s="43"/>
      <c r="J104" s="61"/>
      <c r="K104" s="61"/>
      <c r="L104" s="61"/>
      <c r="M104" s="61"/>
      <c r="N104" s="61"/>
      <c r="O104" s="61"/>
      <c r="P104" s="61"/>
      <c r="Q104" s="41">
        <f t="shared" si="6"/>
        <v>0</v>
      </c>
      <c r="R104" s="3">
        <f>Q104/Summary!$Q$16</f>
        <v>0</v>
      </c>
      <c r="T104" s="35"/>
      <c r="U104" s="40">
        <f t="shared" si="7"/>
        <v>-1</v>
      </c>
    </row>
    <row r="105" spans="1:21" s="3" customFormat="1" ht="25.4" hidden="1" customHeight="1">
      <c r="A105" s="3" t="s">
        <v>896</v>
      </c>
      <c r="B105" s="3" t="s">
        <v>54</v>
      </c>
      <c r="D105" s="26" t="s">
        <v>897</v>
      </c>
      <c r="E105" s="43"/>
      <c r="F105" s="43"/>
      <c r="G105" s="43"/>
      <c r="H105" s="43"/>
      <c r="I105" s="43"/>
      <c r="J105" s="61"/>
      <c r="K105" s="61"/>
      <c r="L105" s="61"/>
      <c r="M105" s="61"/>
      <c r="N105" s="61"/>
      <c r="O105" s="61"/>
      <c r="P105" s="61"/>
      <c r="Q105" s="41">
        <f t="shared" si="6"/>
        <v>0</v>
      </c>
      <c r="R105" s="3">
        <f>Q105/Summary!$Q$16</f>
        <v>0</v>
      </c>
      <c r="T105" s="35"/>
      <c r="U105" s="40">
        <f t="shared" si="7"/>
        <v>-1</v>
      </c>
    </row>
    <row r="106" spans="1:21" s="3" customFormat="1" ht="25.4" hidden="1" customHeight="1">
      <c r="A106" s="3" t="s">
        <v>898</v>
      </c>
      <c r="B106" s="3" t="s">
        <v>54</v>
      </c>
      <c r="D106" s="26" t="s">
        <v>899</v>
      </c>
      <c r="E106" s="43"/>
      <c r="F106" s="43"/>
      <c r="G106" s="43"/>
      <c r="H106" s="43"/>
      <c r="I106" s="43"/>
      <c r="J106" s="61"/>
      <c r="K106" s="61"/>
      <c r="L106" s="61"/>
      <c r="M106" s="61"/>
      <c r="N106" s="61"/>
      <c r="O106" s="61"/>
      <c r="P106" s="61"/>
      <c r="Q106" s="41">
        <f t="shared" si="6"/>
        <v>0</v>
      </c>
      <c r="R106" s="3">
        <f>Q106/Summary!$Q$16</f>
        <v>0</v>
      </c>
      <c r="T106" s="35"/>
      <c r="U106" s="40">
        <f t="shared" si="7"/>
        <v>-1</v>
      </c>
    </row>
    <row r="107" spans="1:21" s="3" customFormat="1" ht="25.4" hidden="1" customHeight="1">
      <c r="A107" s="3" t="s">
        <v>900</v>
      </c>
      <c r="B107" s="3" t="s">
        <v>54</v>
      </c>
      <c r="D107" s="26" t="s">
        <v>901</v>
      </c>
      <c r="E107" s="43"/>
      <c r="F107" s="43"/>
      <c r="G107" s="43"/>
      <c r="H107" s="43"/>
      <c r="I107" s="43"/>
      <c r="J107" s="61"/>
      <c r="K107" s="61"/>
      <c r="L107" s="61"/>
      <c r="M107" s="61"/>
      <c r="N107" s="61"/>
      <c r="O107" s="61"/>
      <c r="P107" s="61"/>
      <c r="Q107" s="41">
        <f t="shared" si="6"/>
        <v>0</v>
      </c>
      <c r="R107" s="3">
        <f>Q107/Summary!$Q$16</f>
        <v>0</v>
      </c>
      <c r="T107" s="35"/>
      <c r="U107" s="40">
        <f t="shared" si="7"/>
        <v>-1</v>
      </c>
    </row>
    <row r="108" spans="1:21" s="3" customFormat="1" ht="25.4" hidden="1" customHeight="1">
      <c r="A108" s="3" t="s">
        <v>902</v>
      </c>
      <c r="B108" s="3" t="s">
        <v>54</v>
      </c>
      <c r="D108" s="26" t="s">
        <v>903</v>
      </c>
      <c r="E108" s="43"/>
      <c r="F108" s="43"/>
      <c r="G108" s="43"/>
      <c r="H108" s="43"/>
      <c r="I108" s="43"/>
      <c r="J108" s="61"/>
      <c r="K108" s="61"/>
      <c r="L108" s="61"/>
      <c r="M108" s="61"/>
      <c r="N108" s="61"/>
      <c r="O108" s="61"/>
      <c r="P108" s="61"/>
      <c r="Q108" s="41">
        <f t="shared" si="6"/>
        <v>0</v>
      </c>
      <c r="R108" s="3">
        <f>Q108/Summary!$Q$16</f>
        <v>0</v>
      </c>
      <c r="T108" s="35"/>
      <c r="U108" s="40">
        <f t="shared" si="7"/>
        <v>-1</v>
      </c>
    </row>
    <row r="109" spans="1:21" s="3" customFormat="1" ht="25.4" hidden="1" customHeight="1">
      <c r="A109" s="3" t="s">
        <v>904</v>
      </c>
      <c r="B109" s="3" t="s">
        <v>54</v>
      </c>
      <c r="D109" s="26" t="s">
        <v>905</v>
      </c>
      <c r="E109" s="43"/>
      <c r="F109" s="43"/>
      <c r="G109" s="43"/>
      <c r="H109" s="43"/>
      <c r="I109" s="43"/>
      <c r="J109" s="61"/>
      <c r="K109" s="61"/>
      <c r="L109" s="61"/>
      <c r="M109" s="61"/>
      <c r="N109" s="61"/>
      <c r="O109" s="61"/>
      <c r="P109" s="61"/>
      <c r="Q109" s="41">
        <f t="shared" si="6"/>
        <v>0</v>
      </c>
      <c r="R109" s="3">
        <f>Q109/Summary!$Q$16</f>
        <v>0</v>
      </c>
      <c r="T109" s="35"/>
      <c r="U109" s="40">
        <f t="shared" si="7"/>
        <v>-1</v>
      </c>
    </row>
    <row r="110" spans="1:21" s="3" customFormat="1" ht="25.4" hidden="1" customHeight="1">
      <c r="A110" s="3" t="s">
        <v>906</v>
      </c>
      <c r="B110" s="3" t="s">
        <v>54</v>
      </c>
      <c r="D110" s="26" t="s">
        <v>907</v>
      </c>
      <c r="E110" s="43"/>
      <c r="F110" s="43"/>
      <c r="G110" s="43"/>
      <c r="H110" s="43"/>
      <c r="I110" s="43"/>
      <c r="J110" s="61"/>
      <c r="K110" s="61"/>
      <c r="L110" s="61"/>
      <c r="M110" s="61"/>
      <c r="N110" s="61"/>
      <c r="O110" s="61"/>
      <c r="P110" s="61"/>
      <c r="Q110" s="41">
        <f t="shared" si="6"/>
        <v>0</v>
      </c>
      <c r="R110" s="3">
        <f>Q110/Summary!$Q$16</f>
        <v>0</v>
      </c>
      <c r="T110" s="35"/>
      <c r="U110" s="40">
        <f t="shared" si="7"/>
        <v>-1</v>
      </c>
    </row>
    <row r="111" spans="1:21" s="3" customFormat="1" ht="25.4" hidden="1" customHeight="1">
      <c r="A111" s="3" t="s">
        <v>908</v>
      </c>
      <c r="B111" s="3" t="s">
        <v>54</v>
      </c>
      <c r="D111" s="26" t="s">
        <v>909</v>
      </c>
      <c r="E111" s="43"/>
      <c r="F111" s="43"/>
      <c r="G111" s="43"/>
      <c r="H111" s="43"/>
      <c r="I111" s="43"/>
      <c r="J111" s="61"/>
      <c r="K111" s="61"/>
      <c r="L111" s="61"/>
      <c r="M111" s="61"/>
      <c r="N111" s="61"/>
      <c r="O111" s="61"/>
      <c r="P111" s="61"/>
      <c r="Q111" s="41">
        <f t="shared" si="6"/>
        <v>0</v>
      </c>
      <c r="R111" s="3">
        <f>Q111/Summary!$Q$16</f>
        <v>0</v>
      </c>
      <c r="T111" s="35"/>
      <c r="U111" s="40">
        <f t="shared" si="7"/>
        <v>-1</v>
      </c>
    </row>
    <row r="112" spans="1:21" s="3" customFormat="1" ht="25.4" hidden="1" customHeight="1">
      <c r="A112" s="3" t="s">
        <v>910</v>
      </c>
      <c r="B112" s="3" t="s">
        <v>54</v>
      </c>
      <c r="D112" s="26" t="s">
        <v>911</v>
      </c>
      <c r="E112" s="43"/>
      <c r="F112" s="43"/>
      <c r="G112" s="43"/>
      <c r="H112" s="43"/>
      <c r="I112" s="43"/>
      <c r="J112" s="61"/>
      <c r="K112" s="61"/>
      <c r="L112" s="61"/>
      <c r="M112" s="61"/>
      <c r="N112" s="61"/>
      <c r="O112" s="61"/>
      <c r="P112" s="61"/>
      <c r="Q112" s="41">
        <f t="shared" si="6"/>
        <v>0</v>
      </c>
      <c r="R112" s="3">
        <f>Q112/Summary!$Q$16</f>
        <v>0</v>
      </c>
      <c r="T112" s="35"/>
      <c r="U112" s="40">
        <f t="shared" si="7"/>
        <v>-1</v>
      </c>
    </row>
    <row r="113" spans="1:21" s="3" customFormat="1" ht="25.4" hidden="1" customHeight="1">
      <c r="A113" s="3" t="s">
        <v>912</v>
      </c>
      <c r="B113" s="3" t="s">
        <v>54</v>
      </c>
      <c r="D113" s="26" t="s">
        <v>913</v>
      </c>
      <c r="E113" s="43"/>
      <c r="F113" s="43"/>
      <c r="G113" s="43"/>
      <c r="H113" s="43"/>
      <c r="I113" s="43"/>
      <c r="J113" s="61"/>
      <c r="K113" s="61"/>
      <c r="L113" s="61"/>
      <c r="M113" s="61"/>
      <c r="N113" s="61"/>
      <c r="O113" s="61"/>
      <c r="P113" s="61"/>
      <c r="Q113" s="41">
        <f t="shared" si="6"/>
        <v>0</v>
      </c>
      <c r="R113" s="3">
        <f>Q113/Summary!$Q$16</f>
        <v>0</v>
      </c>
      <c r="T113" s="35"/>
      <c r="U113" s="40">
        <f t="shared" si="7"/>
        <v>-1</v>
      </c>
    </row>
    <row r="114" spans="1:21" s="3" customFormat="1" ht="25.4" hidden="1" customHeight="1">
      <c r="A114" s="3" t="s">
        <v>914</v>
      </c>
      <c r="B114" s="3" t="s">
        <v>54</v>
      </c>
      <c r="D114" s="26" t="s">
        <v>915</v>
      </c>
      <c r="E114" s="43"/>
      <c r="F114" s="43"/>
      <c r="G114" s="43"/>
      <c r="H114" s="43"/>
      <c r="I114" s="43"/>
      <c r="J114" s="61"/>
      <c r="K114" s="61"/>
      <c r="L114" s="61"/>
      <c r="M114" s="61"/>
      <c r="N114" s="61"/>
      <c r="O114" s="61"/>
      <c r="P114" s="61"/>
      <c r="Q114" s="41">
        <f t="shared" si="6"/>
        <v>0</v>
      </c>
      <c r="R114" s="3">
        <f>Q114/Summary!$Q$16</f>
        <v>0</v>
      </c>
      <c r="T114" s="35"/>
      <c r="U114" s="40">
        <f t="shared" si="7"/>
        <v>-1</v>
      </c>
    </row>
    <row r="115" spans="1:21" s="3" customFormat="1" ht="25.4" hidden="1" customHeight="1">
      <c r="A115" s="3" t="s">
        <v>916</v>
      </c>
      <c r="B115" s="3" t="s">
        <v>54</v>
      </c>
      <c r="D115" s="26" t="s">
        <v>917</v>
      </c>
      <c r="E115" s="43"/>
      <c r="F115" s="43"/>
      <c r="G115" s="43"/>
      <c r="H115" s="43"/>
      <c r="I115" s="43"/>
      <c r="J115" s="61"/>
      <c r="K115" s="61"/>
      <c r="L115" s="61"/>
      <c r="M115" s="61"/>
      <c r="N115" s="61"/>
      <c r="O115" s="61"/>
      <c r="P115" s="61"/>
      <c r="Q115" s="41">
        <f t="shared" si="6"/>
        <v>0</v>
      </c>
      <c r="R115" s="3">
        <f>Q115/Summary!$Q$16</f>
        <v>0</v>
      </c>
      <c r="T115" s="35"/>
      <c r="U115" s="40">
        <f t="shared" si="7"/>
        <v>-1</v>
      </c>
    </row>
    <row r="116" spans="1:21" s="3" customFormat="1" ht="25.4" hidden="1" customHeight="1">
      <c r="A116" s="3" t="s">
        <v>918</v>
      </c>
      <c r="B116" s="3" t="s">
        <v>54</v>
      </c>
      <c r="D116" s="26" t="s">
        <v>919</v>
      </c>
      <c r="E116" s="43"/>
      <c r="F116" s="43"/>
      <c r="G116" s="43"/>
      <c r="H116" s="43"/>
      <c r="I116" s="43"/>
      <c r="J116" s="61"/>
      <c r="K116" s="61"/>
      <c r="L116" s="61"/>
      <c r="M116" s="61"/>
      <c r="N116" s="61"/>
      <c r="O116" s="61"/>
      <c r="P116" s="61"/>
      <c r="Q116" s="41">
        <f t="shared" si="6"/>
        <v>0</v>
      </c>
      <c r="R116" s="3">
        <f>Q116/Summary!$Q$16</f>
        <v>0</v>
      </c>
      <c r="T116" s="35"/>
      <c r="U116" s="40">
        <f t="shared" si="7"/>
        <v>-1</v>
      </c>
    </row>
    <row r="117" spans="1:21" s="3" customFormat="1" ht="25.4" hidden="1" customHeight="1">
      <c r="A117" s="3" t="s">
        <v>920</v>
      </c>
      <c r="B117" s="3" t="s">
        <v>54</v>
      </c>
      <c r="D117" s="26" t="s">
        <v>921</v>
      </c>
      <c r="E117" s="43"/>
      <c r="F117" s="43"/>
      <c r="G117" s="43"/>
      <c r="H117" s="43"/>
      <c r="I117" s="43"/>
      <c r="J117" s="61"/>
      <c r="K117" s="61"/>
      <c r="L117" s="61"/>
      <c r="M117" s="61"/>
      <c r="N117" s="61"/>
      <c r="O117" s="61"/>
      <c r="P117" s="61"/>
      <c r="Q117" s="41">
        <f t="shared" si="6"/>
        <v>0</v>
      </c>
      <c r="R117" s="3">
        <f>Q117/Summary!$Q$16</f>
        <v>0</v>
      </c>
      <c r="T117" s="35"/>
      <c r="U117" s="40">
        <f t="shared" ref="U117:U148" si="8">-IF(T117&lt;&gt;0,(Q117-T117)/T117,1)</f>
        <v>-1</v>
      </c>
    </row>
    <row r="118" spans="1:21" s="3" customFormat="1" ht="25.4" hidden="1" customHeight="1">
      <c r="A118" s="3" t="s">
        <v>922</v>
      </c>
      <c r="B118" s="3" t="s">
        <v>54</v>
      </c>
      <c r="D118" s="26" t="s">
        <v>923</v>
      </c>
      <c r="E118" s="43"/>
      <c r="F118" s="43"/>
      <c r="G118" s="43"/>
      <c r="H118" s="43"/>
      <c r="I118" s="43"/>
      <c r="J118" s="61"/>
      <c r="K118" s="61"/>
      <c r="L118" s="61"/>
      <c r="M118" s="61"/>
      <c r="N118" s="61"/>
      <c r="O118" s="61"/>
      <c r="P118" s="61"/>
      <c r="Q118" s="41">
        <f t="shared" si="6"/>
        <v>0</v>
      </c>
      <c r="R118" s="3">
        <f>Q118/Summary!$Q$16</f>
        <v>0</v>
      </c>
      <c r="T118" s="35"/>
      <c r="U118" s="40">
        <f t="shared" si="8"/>
        <v>-1</v>
      </c>
    </row>
    <row r="119" spans="1:21" s="3" customFormat="1" ht="25.4" hidden="1" customHeight="1">
      <c r="A119" s="3" t="s">
        <v>924</v>
      </c>
      <c r="B119" s="3" t="s">
        <v>54</v>
      </c>
      <c r="D119" s="26" t="s">
        <v>925</v>
      </c>
      <c r="E119" s="43"/>
      <c r="F119" s="43"/>
      <c r="G119" s="43"/>
      <c r="H119" s="43"/>
      <c r="I119" s="43"/>
      <c r="J119" s="61"/>
      <c r="K119" s="61"/>
      <c r="L119" s="61"/>
      <c r="M119" s="61"/>
      <c r="N119" s="61"/>
      <c r="O119" s="61"/>
      <c r="P119" s="61"/>
      <c r="Q119" s="41">
        <f t="shared" si="6"/>
        <v>0</v>
      </c>
      <c r="R119" s="3">
        <f>Q119/Summary!$Q$16</f>
        <v>0</v>
      </c>
      <c r="T119" s="35"/>
      <c r="U119" s="40">
        <f t="shared" si="8"/>
        <v>-1</v>
      </c>
    </row>
    <row r="120" spans="1:21" s="3" customFormat="1" ht="25.4" hidden="1" customHeight="1">
      <c r="A120" s="3" t="s">
        <v>926</v>
      </c>
      <c r="B120" s="3" t="s">
        <v>54</v>
      </c>
      <c r="D120" s="26" t="s">
        <v>927</v>
      </c>
      <c r="E120" s="43"/>
      <c r="F120" s="43"/>
      <c r="G120" s="43"/>
      <c r="H120" s="43"/>
      <c r="I120" s="43"/>
      <c r="J120" s="61"/>
      <c r="K120" s="61"/>
      <c r="L120" s="61"/>
      <c r="M120" s="61"/>
      <c r="N120" s="61"/>
      <c r="O120" s="61"/>
      <c r="P120" s="61"/>
      <c r="Q120" s="41">
        <f t="shared" si="6"/>
        <v>0</v>
      </c>
      <c r="R120" s="3">
        <f>Q120/Summary!$Q$16</f>
        <v>0</v>
      </c>
      <c r="T120" s="35"/>
      <c r="U120" s="40">
        <f t="shared" si="8"/>
        <v>-1</v>
      </c>
    </row>
    <row r="121" spans="1:21" s="3" customFormat="1" ht="25.4" hidden="1" customHeight="1">
      <c r="A121" s="3" t="s">
        <v>928</v>
      </c>
      <c r="B121" s="3" t="s">
        <v>54</v>
      </c>
      <c r="D121" s="26" t="s">
        <v>929</v>
      </c>
      <c r="E121" s="43"/>
      <c r="F121" s="43"/>
      <c r="G121" s="43"/>
      <c r="H121" s="43"/>
      <c r="I121" s="43"/>
      <c r="J121" s="61"/>
      <c r="K121" s="61"/>
      <c r="L121" s="61"/>
      <c r="M121" s="61"/>
      <c r="N121" s="61"/>
      <c r="O121" s="61"/>
      <c r="P121" s="61"/>
      <c r="Q121" s="41">
        <f t="shared" si="6"/>
        <v>0</v>
      </c>
      <c r="R121" s="3">
        <f>Q121/Summary!$Q$16</f>
        <v>0</v>
      </c>
      <c r="T121" s="35"/>
      <c r="U121" s="40">
        <f t="shared" si="8"/>
        <v>-1</v>
      </c>
    </row>
    <row r="122" spans="1:21" s="3" customFormat="1" ht="25.4" hidden="1" customHeight="1">
      <c r="A122" s="3" t="s">
        <v>930</v>
      </c>
      <c r="B122" s="3" t="s">
        <v>54</v>
      </c>
      <c r="D122" s="26" t="s">
        <v>931</v>
      </c>
      <c r="E122" s="43"/>
      <c r="F122" s="43"/>
      <c r="G122" s="43"/>
      <c r="H122" s="43"/>
      <c r="I122" s="43"/>
      <c r="J122" s="61"/>
      <c r="K122" s="61"/>
      <c r="L122" s="61"/>
      <c r="M122" s="61"/>
      <c r="N122" s="61"/>
      <c r="O122" s="61"/>
      <c r="P122" s="61"/>
      <c r="Q122" s="41">
        <f t="shared" si="6"/>
        <v>0</v>
      </c>
      <c r="R122" s="3">
        <f>Q122/Summary!$Q$16</f>
        <v>0</v>
      </c>
      <c r="T122" s="35"/>
      <c r="U122" s="40">
        <f t="shared" si="8"/>
        <v>-1</v>
      </c>
    </row>
    <row r="123" spans="1:21" s="3" customFormat="1" ht="25.4" hidden="1" customHeight="1">
      <c r="A123" s="3" t="s">
        <v>932</v>
      </c>
      <c r="B123" s="3" t="s">
        <v>54</v>
      </c>
      <c r="D123" s="26" t="s">
        <v>933</v>
      </c>
      <c r="E123" s="43"/>
      <c r="F123" s="43"/>
      <c r="G123" s="43"/>
      <c r="H123" s="43"/>
      <c r="I123" s="43"/>
      <c r="J123" s="61"/>
      <c r="K123" s="61"/>
      <c r="L123" s="61"/>
      <c r="M123" s="61"/>
      <c r="N123" s="61"/>
      <c r="O123" s="61"/>
      <c r="P123" s="61"/>
      <c r="Q123" s="41">
        <f t="shared" si="6"/>
        <v>0</v>
      </c>
      <c r="R123" s="3">
        <f>Q123/Summary!$Q$16</f>
        <v>0</v>
      </c>
      <c r="T123" s="35"/>
      <c r="U123" s="40">
        <f t="shared" si="8"/>
        <v>-1</v>
      </c>
    </row>
    <row r="124" spans="1:21" s="3" customFormat="1" ht="25.4" hidden="1" customHeight="1">
      <c r="A124" s="3" t="s">
        <v>934</v>
      </c>
      <c r="B124" s="3" t="s">
        <v>54</v>
      </c>
      <c r="D124" s="26" t="s">
        <v>935</v>
      </c>
      <c r="E124" s="43"/>
      <c r="F124" s="43"/>
      <c r="G124" s="43"/>
      <c r="H124" s="43"/>
      <c r="I124" s="43"/>
      <c r="J124" s="61"/>
      <c r="K124" s="61"/>
      <c r="L124" s="61"/>
      <c r="M124" s="61"/>
      <c r="N124" s="61"/>
      <c r="O124" s="61"/>
      <c r="P124" s="61"/>
      <c r="Q124" s="41">
        <f t="shared" si="6"/>
        <v>0</v>
      </c>
      <c r="R124" s="3">
        <f>Q124/Summary!$Q$16</f>
        <v>0</v>
      </c>
      <c r="T124" s="35"/>
      <c r="U124" s="40">
        <f t="shared" si="8"/>
        <v>-1</v>
      </c>
    </row>
    <row r="125" spans="1:21" s="3" customFormat="1" ht="25.4" hidden="1" customHeight="1">
      <c r="A125" s="3" t="s">
        <v>936</v>
      </c>
      <c r="B125" s="3" t="s">
        <v>54</v>
      </c>
      <c r="D125" s="26" t="s">
        <v>937</v>
      </c>
      <c r="E125" s="43"/>
      <c r="F125" s="43"/>
      <c r="G125" s="43"/>
      <c r="H125" s="43"/>
      <c r="I125" s="43"/>
      <c r="J125" s="61"/>
      <c r="K125" s="61"/>
      <c r="L125" s="61"/>
      <c r="M125" s="61"/>
      <c r="N125" s="61"/>
      <c r="O125" s="61"/>
      <c r="P125" s="61"/>
      <c r="Q125" s="41">
        <f t="shared" si="6"/>
        <v>0</v>
      </c>
      <c r="R125" s="3">
        <f>Q125/Summary!$Q$16</f>
        <v>0</v>
      </c>
      <c r="T125" s="35"/>
      <c r="U125" s="40">
        <f t="shared" si="8"/>
        <v>-1</v>
      </c>
    </row>
    <row r="126" spans="1:21" s="3" customFormat="1" ht="25.4" hidden="1" customHeight="1">
      <c r="A126" s="3" t="s">
        <v>938</v>
      </c>
      <c r="B126" s="3" t="s">
        <v>54</v>
      </c>
      <c r="D126" s="26" t="s">
        <v>939</v>
      </c>
      <c r="E126" s="43"/>
      <c r="F126" s="43"/>
      <c r="G126" s="43"/>
      <c r="H126" s="43"/>
      <c r="I126" s="43"/>
      <c r="J126" s="61"/>
      <c r="K126" s="61"/>
      <c r="L126" s="61"/>
      <c r="M126" s="61"/>
      <c r="N126" s="61"/>
      <c r="O126" s="61"/>
      <c r="P126" s="61"/>
      <c r="Q126" s="41">
        <f t="shared" si="6"/>
        <v>0</v>
      </c>
      <c r="R126" s="3">
        <f>Q126/Summary!$Q$16</f>
        <v>0</v>
      </c>
      <c r="T126" s="35"/>
      <c r="U126" s="40">
        <f t="shared" si="8"/>
        <v>-1</v>
      </c>
    </row>
    <row r="127" spans="1:21" s="3" customFormat="1" ht="25.4" hidden="1" customHeight="1">
      <c r="A127" s="3" t="s">
        <v>940</v>
      </c>
      <c r="B127" s="3" t="s">
        <v>54</v>
      </c>
      <c r="D127" s="26" t="s">
        <v>941</v>
      </c>
      <c r="E127" s="43"/>
      <c r="F127" s="43"/>
      <c r="G127" s="43"/>
      <c r="H127" s="43"/>
      <c r="I127" s="43"/>
      <c r="J127" s="61"/>
      <c r="K127" s="61"/>
      <c r="L127" s="61"/>
      <c r="M127" s="61"/>
      <c r="N127" s="61"/>
      <c r="O127" s="61"/>
      <c r="P127" s="61"/>
      <c r="Q127" s="41">
        <f t="shared" si="6"/>
        <v>0</v>
      </c>
      <c r="R127" s="3">
        <f>Q127/Summary!$Q$16</f>
        <v>0</v>
      </c>
      <c r="T127" s="35"/>
      <c r="U127" s="40">
        <f t="shared" si="8"/>
        <v>-1</v>
      </c>
    </row>
    <row r="128" spans="1:21" s="3" customFormat="1" ht="25.4" hidden="1" customHeight="1">
      <c r="A128" s="3" t="s">
        <v>942</v>
      </c>
      <c r="B128" s="3" t="s">
        <v>54</v>
      </c>
      <c r="D128" s="26" t="s">
        <v>943</v>
      </c>
      <c r="E128" s="43"/>
      <c r="F128" s="43"/>
      <c r="G128" s="43"/>
      <c r="H128" s="43"/>
      <c r="I128" s="43"/>
      <c r="J128" s="61"/>
      <c r="K128" s="61"/>
      <c r="L128" s="61"/>
      <c r="M128" s="61"/>
      <c r="N128" s="61"/>
      <c r="O128" s="61"/>
      <c r="P128" s="61"/>
      <c r="Q128" s="41">
        <f t="shared" si="6"/>
        <v>0</v>
      </c>
      <c r="R128" s="3">
        <f>Q128/Summary!$Q$16</f>
        <v>0</v>
      </c>
      <c r="T128" s="35"/>
      <c r="U128" s="40">
        <f t="shared" si="8"/>
        <v>-1</v>
      </c>
    </row>
    <row r="129" spans="1:22" s="3" customFormat="1" ht="25.4" hidden="1" customHeight="1">
      <c r="A129" s="3" t="s">
        <v>944</v>
      </c>
      <c r="B129" s="3" t="s">
        <v>54</v>
      </c>
      <c r="D129" s="26" t="s">
        <v>945</v>
      </c>
      <c r="E129" s="43"/>
      <c r="F129" s="43"/>
      <c r="G129" s="43"/>
      <c r="H129" s="43"/>
      <c r="I129" s="43"/>
      <c r="J129" s="61"/>
      <c r="K129" s="61"/>
      <c r="L129" s="61"/>
      <c r="M129" s="61"/>
      <c r="N129" s="61"/>
      <c r="O129" s="61"/>
      <c r="P129" s="61"/>
      <c r="Q129" s="41">
        <f t="shared" si="6"/>
        <v>0</v>
      </c>
      <c r="R129" s="3">
        <f>Q129/Summary!$Q$16</f>
        <v>0</v>
      </c>
      <c r="T129" s="35"/>
      <c r="U129" s="40">
        <f t="shared" si="8"/>
        <v>-1</v>
      </c>
    </row>
    <row r="130" spans="1:22" s="3" customFormat="1" ht="25.4" hidden="1" customHeight="1">
      <c r="A130" s="3" t="s">
        <v>946</v>
      </c>
      <c r="B130" s="3" t="s">
        <v>54</v>
      </c>
      <c r="D130" s="26" t="s">
        <v>947</v>
      </c>
      <c r="E130" s="43"/>
      <c r="F130" s="43"/>
      <c r="G130" s="43"/>
      <c r="H130" s="43"/>
      <c r="I130" s="43"/>
      <c r="J130" s="61"/>
      <c r="K130" s="61"/>
      <c r="L130" s="61"/>
      <c r="M130" s="61"/>
      <c r="N130" s="61"/>
      <c r="O130" s="61"/>
      <c r="P130" s="61"/>
      <c r="Q130" s="41">
        <f t="shared" si="6"/>
        <v>0</v>
      </c>
      <c r="R130" s="3">
        <f>Q130/Summary!$Q$16</f>
        <v>0</v>
      </c>
      <c r="T130" s="35"/>
      <c r="U130" s="40">
        <f t="shared" si="8"/>
        <v>-1</v>
      </c>
    </row>
    <row r="131" spans="1:22" s="3" customFormat="1" ht="25.4" hidden="1" customHeight="1">
      <c r="A131" s="3" t="s">
        <v>948</v>
      </c>
      <c r="B131" s="3" t="s">
        <v>54</v>
      </c>
      <c r="D131" s="26" t="s">
        <v>949</v>
      </c>
      <c r="E131" s="43"/>
      <c r="F131" s="43"/>
      <c r="G131" s="43"/>
      <c r="H131" s="43"/>
      <c r="I131" s="43"/>
      <c r="J131" s="61"/>
      <c r="K131" s="61"/>
      <c r="L131" s="61"/>
      <c r="M131" s="61"/>
      <c r="N131" s="61"/>
      <c r="O131" s="61"/>
      <c r="P131" s="61"/>
      <c r="Q131" s="41">
        <f t="shared" si="6"/>
        <v>0</v>
      </c>
      <c r="R131" s="3">
        <f>Q131/Summary!$Q$16</f>
        <v>0</v>
      </c>
      <c r="T131" s="35"/>
      <c r="U131" s="40">
        <f t="shared" si="8"/>
        <v>-1</v>
      </c>
    </row>
    <row r="132" spans="1:22" s="3" customFormat="1" ht="25.4" customHeight="1">
      <c r="A132" s="3" t="s">
        <v>950</v>
      </c>
      <c r="B132" s="3" t="s">
        <v>54</v>
      </c>
      <c r="D132" s="26" t="s">
        <v>1140</v>
      </c>
      <c r="E132" s="43">
        <v>38000</v>
      </c>
      <c r="F132" s="43">
        <v>0</v>
      </c>
      <c r="G132" s="43">
        <v>20000</v>
      </c>
      <c r="H132" s="43">
        <v>18000</v>
      </c>
      <c r="I132" s="43">
        <v>0</v>
      </c>
      <c r="J132" s="61">
        <v>20000</v>
      </c>
      <c r="K132" s="61">
        <v>23000</v>
      </c>
      <c r="L132" s="61">
        <v>0</v>
      </c>
      <c r="M132" s="61">
        <v>20000</v>
      </c>
      <c r="N132" s="61">
        <v>0</v>
      </c>
      <c r="O132" s="61">
        <v>0</v>
      </c>
      <c r="P132" s="61">
        <v>20000</v>
      </c>
      <c r="Q132" s="41">
        <f t="shared" si="6"/>
        <v>159000</v>
      </c>
      <c r="R132" s="3">
        <f>Q132/Summary!$Q$16</f>
        <v>1.9962275868588499E-3</v>
      </c>
      <c r="T132" s="35"/>
      <c r="U132" s="40">
        <f t="shared" si="8"/>
        <v>-1</v>
      </c>
    </row>
    <row r="133" spans="1:22" s="3" customFormat="1" ht="25.4" customHeight="1">
      <c r="A133" s="3" t="s">
        <v>952</v>
      </c>
      <c r="B133" s="3" t="s">
        <v>54</v>
      </c>
      <c r="D133" s="26" t="s">
        <v>953</v>
      </c>
      <c r="E133" s="43"/>
      <c r="F133" s="43"/>
      <c r="G133" s="43"/>
      <c r="H133" s="43"/>
      <c r="I133" s="43"/>
      <c r="J133" s="61"/>
      <c r="K133" s="61"/>
      <c r="L133" s="61"/>
      <c r="M133" s="61"/>
      <c r="N133" s="61"/>
      <c r="O133" s="61"/>
      <c r="P133" s="61"/>
      <c r="Q133" s="41">
        <f t="shared" si="6"/>
        <v>0</v>
      </c>
      <c r="R133" s="3">
        <f>Q133/Summary!$Q$16</f>
        <v>0</v>
      </c>
      <c r="T133" s="35"/>
      <c r="U133" s="40">
        <f t="shared" si="8"/>
        <v>-1</v>
      </c>
    </row>
    <row r="134" spans="1:22" s="3" customFormat="1" ht="25.4" customHeight="1">
      <c r="A134" s="3" t="s">
        <v>954</v>
      </c>
      <c r="B134" s="3" t="s">
        <v>54</v>
      </c>
      <c r="D134" s="26" t="s">
        <v>955</v>
      </c>
      <c r="E134" s="43"/>
      <c r="F134" s="43"/>
      <c r="G134" s="43"/>
      <c r="H134" s="43"/>
      <c r="I134" s="43"/>
      <c r="J134" s="61"/>
      <c r="K134" s="61"/>
      <c r="L134" s="61"/>
      <c r="M134" s="61"/>
      <c r="N134" s="61"/>
      <c r="O134" s="61"/>
      <c r="P134" s="61"/>
      <c r="Q134" s="41">
        <f t="shared" si="6"/>
        <v>0</v>
      </c>
      <c r="R134" s="3">
        <f>Q134/Summary!$Q$16</f>
        <v>0</v>
      </c>
      <c r="T134" s="35"/>
      <c r="U134" s="40">
        <f t="shared" si="8"/>
        <v>-1</v>
      </c>
    </row>
    <row r="135" spans="1:22" s="3" customFormat="1" ht="25.4" customHeight="1">
      <c r="A135" s="3" t="s">
        <v>956</v>
      </c>
      <c r="B135" s="3" t="s">
        <v>54</v>
      </c>
      <c r="D135" s="26" t="s">
        <v>957</v>
      </c>
      <c r="E135" s="43"/>
      <c r="F135" s="43"/>
      <c r="G135" s="43"/>
      <c r="H135" s="43"/>
      <c r="I135" s="43"/>
      <c r="J135" s="61"/>
      <c r="K135" s="61"/>
      <c r="L135" s="61"/>
      <c r="M135" s="61"/>
      <c r="N135" s="61"/>
      <c r="O135" s="61"/>
      <c r="P135" s="61"/>
      <c r="Q135" s="41">
        <f t="shared" si="6"/>
        <v>0</v>
      </c>
      <c r="R135" s="3">
        <f>Q135/Summary!$Q$16</f>
        <v>0</v>
      </c>
      <c r="T135" s="35"/>
      <c r="U135" s="40">
        <f t="shared" si="8"/>
        <v>-1</v>
      </c>
    </row>
    <row r="136" spans="1:22" s="3" customFormat="1" ht="25.4" customHeight="1">
      <c r="A136" s="3" t="s">
        <v>958</v>
      </c>
      <c r="B136" s="3" t="s">
        <v>54</v>
      </c>
      <c r="D136" s="26" t="s">
        <v>959</v>
      </c>
      <c r="E136" s="43"/>
      <c r="F136" s="43"/>
      <c r="G136" s="43"/>
      <c r="H136" s="43"/>
      <c r="I136" s="43"/>
      <c r="J136" s="43"/>
      <c r="K136" s="61"/>
      <c r="L136" s="61"/>
      <c r="M136" s="43"/>
      <c r="N136" s="61"/>
      <c r="O136" s="61"/>
      <c r="P136" s="43"/>
      <c r="Q136" s="41">
        <f t="shared" si="6"/>
        <v>0</v>
      </c>
      <c r="R136" s="3">
        <f>Q136/Summary!$Q$16</f>
        <v>0</v>
      </c>
      <c r="T136" s="35"/>
      <c r="U136" s="40">
        <f t="shared" si="8"/>
        <v>-1</v>
      </c>
      <c r="V136" s="350"/>
    </row>
    <row r="137" spans="1:22" s="3" customFormat="1" ht="25.4" customHeight="1">
      <c r="A137" s="3" t="s">
        <v>960</v>
      </c>
      <c r="B137" s="3" t="s">
        <v>54</v>
      </c>
      <c r="D137" s="26" t="s">
        <v>961</v>
      </c>
      <c r="E137" s="43"/>
      <c r="F137" s="43"/>
      <c r="G137" s="43"/>
      <c r="H137" s="43"/>
      <c r="I137" s="43"/>
      <c r="J137" s="61"/>
      <c r="K137" s="61"/>
      <c r="L137" s="61"/>
      <c r="M137" s="61"/>
      <c r="N137" s="61"/>
      <c r="O137" s="61"/>
      <c r="P137" s="61"/>
      <c r="Q137" s="41">
        <f t="shared" si="6"/>
        <v>0</v>
      </c>
      <c r="R137" s="3">
        <f>Q137/Summary!$Q$16</f>
        <v>0</v>
      </c>
      <c r="T137" s="35"/>
      <c r="U137" s="40">
        <f t="shared" si="8"/>
        <v>-1</v>
      </c>
    </row>
    <row r="138" spans="1:22" s="3" customFormat="1" ht="25.4" customHeight="1">
      <c r="A138" s="3" t="s">
        <v>962</v>
      </c>
      <c r="B138" s="3" t="s">
        <v>54</v>
      </c>
      <c r="D138" s="26" t="s">
        <v>963</v>
      </c>
      <c r="E138" s="43"/>
      <c r="F138" s="43"/>
      <c r="G138" s="43"/>
      <c r="H138" s="43"/>
      <c r="I138" s="43"/>
      <c r="J138" s="61"/>
      <c r="K138" s="61"/>
      <c r="L138" s="61"/>
      <c r="M138" s="61"/>
      <c r="N138" s="61"/>
      <c r="O138" s="61"/>
      <c r="P138" s="61"/>
      <c r="Q138" s="41">
        <f t="shared" si="6"/>
        <v>0</v>
      </c>
      <c r="R138" s="3">
        <f>Q138/Summary!$Q$16</f>
        <v>0</v>
      </c>
      <c r="T138" s="35"/>
      <c r="U138" s="40">
        <f t="shared" si="8"/>
        <v>-1</v>
      </c>
    </row>
    <row r="139" spans="1:22" s="3" customFormat="1" ht="25.4" customHeight="1">
      <c r="A139" s="3" t="s">
        <v>964</v>
      </c>
      <c r="B139" s="3" t="s">
        <v>54</v>
      </c>
      <c r="D139" s="26" t="s">
        <v>965</v>
      </c>
      <c r="E139" s="43">
        <v>78000</v>
      </c>
      <c r="F139" s="43">
        <v>47100</v>
      </c>
      <c r="G139" s="43">
        <v>34000</v>
      </c>
      <c r="H139" s="43">
        <v>48000</v>
      </c>
      <c r="I139" s="43">
        <v>40800</v>
      </c>
      <c r="J139" s="61">
        <v>86800</v>
      </c>
      <c r="K139" s="61">
        <v>40800</v>
      </c>
      <c r="L139" s="61">
        <v>40800</v>
      </c>
      <c r="M139" s="61">
        <v>54000</v>
      </c>
      <c r="N139" s="61">
        <v>42800</v>
      </c>
      <c r="O139" s="61">
        <v>103600</v>
      </c>
      <c r="P139" s="61">
        <v>34300</v>
      </c>
      <c r="Q139" s="41">
        <f t="shared" si="6"/>
        <v>651000</v>
      </c>
      <c r="R139" s="3">
        <f>Q139/Summary!$Q$16</f>
        <v>8.1732337046862349E-3</v>
      </c>
      <c r="T139" s="35"/>
      <c r="U139" s="40">
        <f t="shared" si="8"/>
        <v>-1</v>
      </c>
    </row>
    <row r="140" spans="1:22" s="3" customFormat="1" ht="25.4" customHeight="1">
      <c r="A140" s="3" t="s">
        <v>966</v>
      </c>
      <c r="B140" s="3" t="s">
        <v>54</v>
      </c>
      <c r="D140" s="26" t="s">
        <v>967</v>
      </c>
      <c r="E140" s="43"/>
      <c r="F140" s="43"/>
      <c r="G140" s="43"/>
      <c r="H140" s="43"/>
      <c r="I140" s="43"/>
      <c r="J140" s="61"/>
      <c r="K140" s="61"/>
      <c r="L140" s="61"/>
      <c r="M140" s="61"/>
      <c r="N140" s="61"/>
      <c r="O140" s="61"/>
      <c r="P140" s="61"/>
      <c r="Q140" s="41">
        <f t="shared" si="6"/>
        <v>0</v>
      </c>
      <c r="R140" s="3">
        <f>Q140/Summary!$Q$16</f>
        <v>0</v>
      </c>
      <c r="T140" s="35"/>
      <c r="U140" s="40">
        <f t="shared" si="8"/>
        <v>-1</v>
      </c>
    </row>
    <row r="141" spans="1:22" s="3" customFormat="1" ht="25.4" customHeight="1">
      <c r="A141" s="3" t="s">
        <v>968</v>
      </c>
      <c r="B141" s="3" t="s">
        <v>54</v>
      </c>
      <c r="D141" s="26" t="s">
        <v>969</v>
      </c>
      <c r="E141" s="43"/>
      <c r="F141" s="43"/>
      <c r="G141" s="43"/>
      <c r="H141" s="43"/>
      <c r="I141" s="43"/>
      <c r="J141" s="61"/>
      <c r="K141" s="61"/>
      <c r="L141" s="61"/>
      <c r="M141" s="61"/>
      <c r="N141" s="61"/>
      <c r="O141" s="61"/>
      <c r="P141" s="61"/>
      <c r="Q141" s="41">
        <f t="shared" si="6"/>
        <v>0</v>
      </c>
      <c r="R141" s="3">
        <f>Q141/Summary!$Q$16</f>
        <v>0</v>
      </c>
      <c r="T141" s="35"/>
      <c r="U141" s="40">
        <f t="shared" si="8"/>
        <v>-1</v>
      </c>
    </row>
    <row r="142" spans="1:22" s="3" customFormat="1" ht="25" customHeight="1">
      <c r="A142" s="3" t="s">
        <v>970</v>
      </c>
      <c r="B142" s="3" t="s">
        <v>54</v>
      </c>
      <c r="D142" s="26" t="s">
        <v>971</v>
      </c>
      <c r="E142" s="43"/>
      <c r="F142" s="43"/>
      <c r="G142" s="43"/>
      <c r="H142" s="43"/>
      <c r="I142" s="43"/>
      <c r="J142" s="61"/>
      <c r="K142" s="61"/>
      <c r="L142" s="61"/>
      <c r="M142" s="61"/>
      <c r="N142" s="61"/>
      <c r="O142" s="61"/>
      <c r="P142" s="61"/>
      <c r="Q142" s="41">
        <f t="shared" si="6"/>
        <v>0</v>
      </c>
      <c r="R142" s="3">
        <f>Q142/Summary!$Q$16</f>
        <v>0</v>
      </c>
      <c r="T142" s="35"/>
      <c r="U142" s="40">
        <f t="shared" si="8"/>
        <v>-1</v>
      </c>
    </row>
    <row r="143" spans="1:22" s="3" customFormat="1" ht="25.4" customHeight="1">
      <c r="A143" s="3" t="s">
        <v>972</v>
      </c>
      <c r="B143" s="3" t="s">
        <v>54</v>
      </c>
      <c r="D143" s="26" t="s">
        <v>973</v>
      </c>
      <c r="E143" s="43">
        <v>6667</v>
      </c>
      <c r="F143" s="43">
        <v>6667</v>
      </c>
      <c r="G143" s="43">
        <v>106667</v>
      </c>
      <c r="H143" s="43">
        <v>106667</v>
      </c>
      <c r="I143" s="43">
        <v>6667</v>
      </c>
      <c r="J143" s="61">
        <v>6667</v>
      </c>
      <c r="K143" s="61">
        <v>6667</v>
      </c>
      <c r="L143" s="61">
        <v>6667</v>
      </c>
      <c r="M143" s="61">
        <v>106667</v>
      </c>
      <c r="N143" s="61">
        <v>246667</v>
      </c>
      <c r="O143" s="61">
        <v>6667</v>
      </c>
      <c r="P143" s="61">
        <v>6667</v>
      </c>
      <c r="Q143" s="41">
        <f t="shared" si="6"/>
        <v>620004</v>
      </c>
      <c r="R143" s="3">
        <f>Q143/Summary!$Q$16</f>
        <v>7.7840823192631102E-3</v>
      </c>
      <c r="T143" s="35"/>
      <c r="U143" s="40">
        <f t="shared" si="8"/>
        <v>-1</v>
      </c>
      <c r="V143" s="350" t="s">
        <v>1343</v>
      </c>
    </row>
    <row r="144" spans="1:22" s="3" customFormat="1" ht="25.4" customHeight="1">
      <c r="A144" s="3" t="s">
        <v>974</v>
      </c>
      <c r="B144" s="3" t="s">
        <v>54</v>
      </c>
      <c r="D144" s="26" t="s">
        <v>975</v>
      </c>
      <c r="E144" s="43">
        <v>0</v>
      </c>
      <c r="F144" s="43">
        <v>0</v>
      </c>
      <c r="G144" s="43">
        <v>20000</v>
      </c>
      <c r="H144" s="43">
        <v>0</v>
      </c>
      <c r="I144" s="43">
        <v>0</v>
      </c>
      <c r="J144" s="61">
        <v>20000</v>
      </c>
      <c r="K144" s="61">
        <v>0</v>
      </c>
      <c r="L144" s="61">
        <v>0</v>
      </c>
      <c r="M144" s="3">
        <v>20000</v>
      </c>
      <c r="N144" s="61"/>
      <c r="O144" s="61">
        <v>0</v>
      </c>
      <c r="P144" s="61">
        <v>0</v>
      </c>
      <c r="Q144" s="41">
        <f t="shared" ref="Q144:Q156" si="9">SUM(E144:P144)</f>
        <v>60000</v>
      </c>
      <c r="R144" s="3">
        <f>Q144/Summary!$Q$16</f>
        <v>7.5329342900333962E-4</v>
      </c>
      <c r="T144" s="35"/>
      <c r="U144" s="40">
        <f t="shared" si="8"/>
        <v>-1</v>
      </c>
    </row>
    <row r="145" spans="1:22" s="3" customFormat="1" ht="25.4" customHeight="1">
      <c r="A145" s="3" t="s">
        <v>976</v>
      </c>
      <c r="B145" s="3" t="s">
        <v>54</v>
      </c>
      <c r="D145" s="26" t="s">
        <v>1061</v>
      </c>
      <c r="E145" s="43">
        <f>'Rooms Summary'!E13*30%*4.5%</f>
        <v>40504.805999999997</v>
      </c>
      <c r="F145" s="43">
        <f>'Rooms Summary'!F13*30%*4.5%</f>
        <v>71311.414499999984</v>
      </c>
      <c r="G145" s="43">
        <f>'Rooms Summary'!G13*30%*4.5%</f>
        <v>26961.39</v>
      </c>
      <c r="H145" s="43">
        <f>'Rooms Summary'!H13*30%*4.5%</f>
        <v>28406.888999999996</v>
      </c>
      <c r="I145" s="43">
        <f>'Rooms Summary'!I13*30%*4.5%</f>
        <v>41634.715499999998</v>
      </c>
      <c r="J145" s="43">
        <f>'Rooms Summary'!J13*30%*4.5%</f>
        <v>28969.447499999998</v>
      </c>
      <c r="K145" s="43">
        <f>'Rooms Summary'!K13*30%*4.5%</f>
        <v>49690.799999999996</v>
      </c>
      <c r="L145" s="43">
        <f>'Rooms Summary'!L13*30%*4.5%</f>
        <v>56600.504999999997</v>
      </c>
      <c r="M145" s="43">
        <f>'Rooms Summary'!M13*30%*4.5%</f>
        <v>29522.744999999999</v>
      </c>
      <c r="N145" s="43">
        <f>'Rooms Summary'!N13*30%*4.5%</f>
        <v>44200.228499999997</v>
      </c>
      <c r="O145" s="43">
        <f>'Rooms Summary'!O13*30%*4.5%</f>
        <v>33770.006999999998</v>
      </c>
      <c r="P145" s="43">
        <f>'Rooms Summary'!P13*30%*4.5%</f>
        <v>41777.235000000001</v>
      </c>
      <c r="Q145" s="41">
        <f t="shared" si="9"/>
        <v>493350.18299999996</v>
      </c>
      <c r="R145" s="3">
        <f>Q145/Summary!$Q$16</f>
        <v>6.1939575175249178E-3</v>
      </c>
      <c r="T145" s="35"/>
      <c r="U145" s="40">
        <f t="shared" si="8"/>
        <v>-1</v>
      </c>
    </row>
    <row r="146" spans="1:22" s="3" customFormat="1" ht="25.4" customHeight="1">
      <c r="A146" s="3" t="s">
        <v>978</v>
      </c>
      <c r="B146" s="3" t="s">
        <v>54</v>
      </c>
      <c r="D146" s="26" t="s">
        <v>979</v>
      </c>
      <c r="E146" s="43">
        <v>0</v>
      </c>
      <c r="F146" s="43">
        <v>4500</v>
      </c>
      <c r="G146" s="43">
        <v>0</v>
      </c>
      <c r="H146" s="43">
        <v>0</v>
      </c>
      <c r="I146" s="43">
        <v>4500</v>
      </c>
      <c r="J146" s="61">
        <v>0</v>
      </c>
      <c r="K146" s="61">
        <v>0</v>
      </c>
      <c r="L146" s="61">
        <v>4500</v>
      </c>
      <c r="M146" s="61">
        <v>0</v>
      </c>
      <c r="N146" s="61">
        <v>0</v>
      </c>
      <c r="O146" s="61">
        <v>4500</v>
      </c>
      <c r="P146" s="61">
        <v>0</v>
      </c>
      <c r="Q146" s="41">
        <f t="shared" si="9"/>
        <v>18000</v>
      </c>
      <c r="R146" s="3">
        <f>Q146/Summary!$Q$16</f>
        <v>2.2598802870100191E-4</v>
      </c>
      <c r="T146" s="35"/>
      <c r="U146" s="40">
        <f t="shared" si="8"/>
        <v>-1</v>
      </c>
    </row>
    <row r="147" spans="1:22" s="3" customFormat="1" ht="25.4" customHeight="1">
      <c r="A147" s="3" t="s">
        <v>980</v>
      </c>
      <c r="B147" s="3" t="s">
        <v>54</v>
      </c>
      <c r="D147" s="26" t="s">
        <v>981</v>
      </c>
      <c r="E147" s="43">
        <v>0</v>
      </c>
      <c r="F147" s="43">
        <v>0</v>
      </c>
      <c r="G147" s="43">
        <v>0</v>
      </c>
      <c r="H147" s="43">
        <v>48000</v>
      </c>
      <c r="I147" s="43">
        <v>68000</v>
      </c>
      <c r="J147" s="61">
        <v>20000</v>
      </c>
      <c r="K147" s="61">
        <v>0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41">
        <f t="shared" si="9"/>
        <v>136000</v>
      </c>
      <c r="R147" s="3">
        <f>Q147/Summary!$Q$16</f>
        <v>1.7074651057409033E-3</v>
      </c>
      <c r="T147" s="35"/>
      <c r="U147" s="40">
        <f t="shared" si="8"/>
        <v>-1</v>
      </c>
    </row>
    <row r="148" spans="1:22" s="3" customFormat="1" ht="25.4" customHeight="1">
      <c r="A148" s="3" t="s">
        <v>982</v>
      </c>
      <c r="B148" s="3" t="s">
        <v>54</v>
      </c>
      <c r="D148" s="26" t="s">
        <v>983</v>
      </c>
      <c r="E148" s="43"/>
      <c r="F148" s="43"/>
      <c r="G148" s="43"/>
      <c r="H148" s="43"/>
      <c r="I148" s="43"/>
      <c r="J148" s="61"/>
      <c r="K148" s="61"/>
      <c r="L148" s="61"/>
      <c r="M148" s="61"/>
      <c r="N148" s="61"/>
      <c r="O148" s="61"/>
      <c r="P148" s="61"/>
      <c r="Q148" s="41">
        <f t="shared" si="9"/>
        <v>0</v>
      </c>
      <c r="R148" s="3">
        <f>Q148/Summary!$Q$16</f>
        <v>0</v>
      </c>
      <c r="T148" s="35"/>
      <c r="U148" s="40">
        <f t="shared" si="8"/>
        <v>-1</v>
      </c>
    </row>
    <row r="149" spans="1:22" s="3" customFormat="1" ht="25.4" customHeight="1">
      <c r="A149" s="3" t="s">
        <v>984</v>
      </c>
      <c r="B149" s="3" t="s">
        <v>54</v>
      </c>
      <c r="D149" s="26" t="s">
        <v>1128</v>
      </c>
      <c r="E149" s="43">
        <v>0</v>
      </c>
      <c r="F149" s="43">
        <v>80400</v>
      </c>
      <c r="G149" s="43">
        <v>0</v>
      </c>
      <c r="H149" s="43">
        <v>0</v>
      </c>
      <c r="I149" s="43">
        <v>0</v>
      </c>
      <c r="J149" s="61">
        <v>80000</v>
      </c>
      <c r="K149" s="61">
        <v>0</v>
      </c>
      <c r="L149" s="61">
        <v>0</v>
      </c>
      <c r="M149" s="61">
        <v>80000</v>
      </c>
      <c r="N149" s="61">
        <v>0</v>
      </c>
      <c r="O149" s="61">
        <v>0</v>
      </c>
      <c r="P149" s="61">
        <v>0</v>
      </c>
      <c r="Q149" s="41">
        <f t="shared" si="9"/>
        <v>240400</v>
      </c>
      <c r="R149" s="3">
        <f>Q149/Summary!$Q$16</f>
        <v>3.0181956722067143E-3</v>
      </c>
      <c r="T149" s="35"/>
      <c r="U149" s="40">
        <f t="shared" ref="U149:U158" si="10">-IF(T149&lt;&gt;0,(Q149-T149)/T149,1)</f>
        <v>-1</v>
      </c>
    </row>
    <row r="150" spans="1:22" s="3" customFormat="1" ht="25.4" customHeight="1">
      <c r="A150" s="3" t="s">
        <v>986</v>
      </c>
      <c r="B150" s="3" t="s">
        <v>54</v>
      </c>
      <c r="D150" s="26" t="s">
        <v>987</v>
      </c>
      <c r="E150" s="43">
        <f>Summary!E16*1.5%</f>
        <v>92075.418000000005</v>
      </c>
      <c r="F150" s="43">
        <f>Summary!F16*1.5%</f>
        <v>117865.16249999999</v>
      </c>
      <c r="G150" s="43">
        <f>Summary!G16*1.5%</f>
        <v>82599.41399999999</v>
      </c>
      <c r="H150" s="43">
        <f>Summary!H16*1.5%</f>
        <v>78055.161000000007</v>
      </c>
      <c r="I150" s="43">
        <f>Summary!I16*1.5%</f>
        <v>101686.8285</v>
      </c>
      <c r="J150" s="43">
        <f>Summary!J16*1.5%</f>
        <v>81546.382499999992</v>
      </c>
      <c r="K150" s="43">
        <f>Summary!K16*1.5%</f>
        <v>110566.014</v>
      </c>
      <c r="L150" s="43">
        <f>Summary!L16*1.5%</f>
        <v>113796.609</v>
      </c>
      <c r="M150" s="43">
        <f>Summary!M16*1.5%</f>
        <v>73502.535000000003</v>
      </c>
      <c r="N150" s="43">
        <f>Summary!N16*1.5%</f>
        <v>124425.5655</v>
      </c>
      <c r="O150" s="43">
        <f>Summary!O16*1.5%</f>
        <v>105617.883</v>
      </c>
      <c r="P150" s="43">
        <f>Summary!P16*1.5%</f>
        <v>113016.57899999998</v>
      </c>
      <c r="Q150" s="41">
        <f t="shared" si="9"/>
        <v>1194753.5519999999</v>
      </c>
      <c r="R150" s="3">
        <f>Q150/Summary!$Q$16</f>
        <v>1.4999999999999996E-2</v>
      </c>
      <c r="T150" s="35"/>
      <c r="U150" s="40">
        <f t="shared" si="10"/>
        <v>-1</v>
      </c>
    </row>
    <row r="151" spans="1:22" s="3" customFormat="1" ht="25.4" customHeight="1">
      <c r="A151" s="3" t="s">
        <v>988</v>
      </c>
      <c r="B151" s="3" t="s">
        <v>54</v>
      </c>
      <c r="D151" s="26" t="s">
        <v>989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>
        <v>182600</v>
      </c>
      <c r="Q151" s="41">
        <f t="shared" si="9"/>
        <v>182600</v>
      </c>
      <c r="R151" s="39">
        <f>Q151/Summary!$Q$16</f>
        <v>2.2925230022668303E-3</v>
      </c>
      <c r="S151" s="39"/>
      <c r="T151" s="35"/>
      <c r="U151" s="40">
        <f t="shared" si="10"/>
        <v>-1</v>
      </c>
      <c r="V151" s="3" t="s">
        <v>1344</v>
      </c>
    </row>
    <row r="152" spans="1:22" s="3" customFormat="1" ht="25.4" customHeight="1">
      <c r="A152" s="3" t="s">
        <v>990</v>
      </c>
      <c r="B152" s="3" t="s">
        <v>54</v>
      </c>
      <c r="D152" s="26" t="s">
        <v>991</v>
      </c>
      <c r="E152" s="63">
        <v>0</v>
      </c>
      <c r="F152" s="63"/>
      <c r="G152" s="63"/>
      <c r="H152" s="63"/>
      <c r="I152" s="63">
        <v>0</v>
      </c>
      <c r="J152" s="61">
        <v>0</v>
      </c>
      <c r="K152" s="61">
        <v>0</v>
      </c>
      <c r="L152" s="61">
        <v>0</v>
      </c>
      <c r="M152" s="27">
        <v>0</v>
      </c>
      <c r="N152" s="27">
        <v>0</v>
      </c>
      <c r="O152" s="27">
        <v>0</v>
      </c>
      <c r="P152" s="27">
        <v>0</v>
      </c>
      <c r="Q152" s="41">
        <f t="shared" si="9"/>
        <v>0</v>
      </c>
      <c r="R152" s="39">
        <f>Q152/Summary!$Q$16</f>
        <v>0</v>
      </c>
      <c r="S152" s="39"/>
      <c r="T152" s="35"/>
      <c r="U152" s="40">
        <f t="shared" si="10"/>
        <v>-1</v>
      </c>
    </row>
    <row r="153" spans="1:22" s="3" customFormat="1" ht="25.4" customHeight="1">
      <c r="A153" s="3" t="s">
        <v>992</v>
      </c>
      <c r="B153" s="3" t="s">
        <v>54</v>
      </c>
      <c r="D153" s="26" t="s">
        <v>993</v>
      </c>
      <c r="E153" s="63">
        <v>0</v>
      </c>
      <c r="F153" s="63"/>
      <c r="G153" s="63"/>
      <c r="H153" s="63"/>
      <c r="I153" s="63">
        <v>0</v>
      </c>
      <c r="J153" s="61">
        <v>0</v>
      </c>
      <c r="K153" s="61">
        <v>0</v>
      </c>
      <c r="L153" s="61">
        <v>0</v>
      </c>
      <c r="M153" s="27">
        <v>0</v>
      </c>
      <c r="N153" s="27">
        <v>0</v>
      </c>
      <c r="O153" s="27">
        <v>0</v>
      </c>
      <c r="P153" s="27">
        <v>0</v>
      </c>
      <c r="Q153" s="41">
        <f t="shared" si="9"/>
        <v>0</v>
      </c>
      <c r="R153" s="39">
        <f>Q153/Summary!$Q$16</f>
        <v>0</v>
      </c>
      <c r="S153" s="39"/>
      <c r="T153" s="35"/>
      <c r="U153" s="40">
        <f t="shared" si="10"/>
        <v>-1</v>
      </c>
    </row>
    <row r="154" spans="1:22" s="3" customFormat="1" ht="25.4" customHeight="1">
      <c r="A154" s="3" t="s">
        <v>994</v>
      </c>
      <c r="B154" s="3" t="s">
        <v>54</v>
      </c>
      <c r="D154" s="26" t="s">
        <v>995</v>
      </c>
      <c r="E154" s="63">
        <v>0</v>
      </c>
      <c r="F154" s="63">
        <v>0</v>
      </c>
      <c r="G154" s="63">
        <v>0</v>
      </c>
      <c r="H154" s="63">
        <v>0</v>
      </c>
      <c r="I154" s="63">
        <v>0</v>
      </c>
      <c r="J154" s="61">
        <v>0</v>
      </c>
      <c r="K154" s="61">
        <v>0</v>
      </c>
      <c r="L154" s="61">
        <v>0</v>
      </c>
      <c r="M154" s="27">
        <v>0</v>
      </c>
      <c r="N154" s="27">
        <v>0</v>
      </c>
      <c r="O154" s="27">
        <v>0</v>
      </c>
      <c r="P154" s="27">
        <v>0</v>
      </c>
      <c r="Q154" s="41">
        <f t="shared" si="9"/>
        <v>0</v>
      </c>
      <c r="R154" s="39">
        <f>Q154/Summary!$Q$16</f>
        <v>0</v>
      </c>
      <c r="S154" s="39"/>
      <c r="T154" s="35"/>
      <c r="U154" s="40">
        <f t="shared" si="10"/>
        <v>-1</v>
      </c>
    </row>
    <row r="155" spans="1:22" s="3" customFormat="1" ht="25.4" customHeight="1">
      <c r="A155" s="3" t="s">
        <v>996</v>
      </c>
      <c r="B155" s="3" t="s">
        <v>54</v>
      </c>
      <c r="D155" s="26" t="s">
        <v>997</v>
      </c>
      <c r="E155" s="63">
        <v>0</v>
      </c>
      <c r="F155" s="63">
        <v>0</v>
      </c>
      <c r="G155" s="63">
        <v>0</v>
      </c>
      <c r="H155" s="63">
        <v>0</v>
      </c>
      <c r="I155" s="63">
        <v>0</v>
      </c>
      <c r="J155" s="61">
        <v>0</v>
      </c>
      <c r="K155" s="61">
        <v>0</v>
      </c>
      <c r="L155" s="61">
        <v>0</v>
      </c>
      <c r="M155" s="27">
        <v>0</v>
      </c>
      <c r="N155" s="27">
        <v>0</v>
      </c>
      <c r="O155" s="27">
        <v>0</v>
      </c>
      <c r="P155" s="27">
        <v>0</v>
      </c>
      <c r="Q155" s="41">
        <f t="shared" si="9"/>
        <v>0</v>
      </c>
      <c r="R155" s="39">
        <f>Q155/Summary!$Q$16</f>
        <v>0</v>
      </c>
      <c r="S155" s="39"/>
      <c r="T155" s="35"/>
      <c r="U155" s="40">
        <f t="shared" si="10"/>
        <v>-1</v>
      </c>
    </row>
    <row r="156" spans="1:22" s="3" customFormat="1" ht="25.4" customHeight="1">
      <c r="A156" s="3" t="s">
        <v>595</v>
      </c>
      <c r="B156" s="3" t="s">
        <v>54</v>
      </c>
      <c r="D156" s="26" t="s">
        <v>596</v>
      </c>
      <c r="E156" s="63">
        <v>0</v>
      </c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41">
        <f t="shared" si="9"/>
        <v>0</v>
      </c>
      <c r="R156" s="39">
        <f>Q156/Summary!$Q$16</f>
        <v>0</v>
      </c>
      <c r="S156" s="39"/>
      <c r="T156" s="35"/>
      <c r="U156" s="40">
        <f t="shared" si="10"/>
        <v>-1</v>
      </c>
    </row>
    <row r="157" spans="1:22" s="19" customFormat="1" ht="25.4" customHeight="1">
      <c r="D157" s="21" t="s">
        <v>597</v>
      </c>
      <c r="E157" s="45">
        <f>SUM(E15:E156)</f>
        <v>348167.0573333333</v>
      </c>
      <c r="F157" s="45">
        <f t="shared" ref="F157:Q157" si="11">SUM(F15:F156)</f>
        <v>433090.36033333326</v>
      </c>
      <c r="G157" s="45">
        <f t="shared" si="11"/>
        <v>396239.28733333334</v>
      </c>
      <c r="H157" s="45">
        <f t="shared" si="11"/>
        <v>465515.78333333338</v>
      </c>
      <c r="I157" s="45">
        <f t="shared" si="11"/>
        <v>388006.62733333331</v>
      </c>
      <c r="J157" s="45">
        <f t="shared" si="11"/>
        <v>486283.36333333334</v>
      </c>
      <c r="K157" s="45">
        <f t="shared" si="11"/>
        <v>319694.09733333334</v>
      </c>
      <c r="L157" s="45">
        <f t="shared" si="11"/>
        <v>321922.39733333333</v>
      </c>
      <c r="M157" s="45">
        <f t="shared" si="11"/>
        <v>491196.46333333338</v>
      </c>
      <c r="N157" s="45">
        <f t="shared" si="11"/>
        <v>615989.07733333332</v>
      </c>
      <c r="O157" s="45">
        <f t="shared" si="11"/>
        <v>356402.87333333329</v>
      </c>
      <c r="P157" s="45">
        <f t="shared" si="11"/>
        <v>569332.14733333327</v>
      </c>
      <c r="Q157" s="45">
        <f t="shared" si="11"/>
        <v>5191839.5350000001</v>
      </c>
      <c r="R157" s="39">
        <f>Q157/Summary!$Q$16</f>
        <v>6.5182976769254247E-2</v>
      </c>
      <c r="S157" s="39"/>
      <c r="T157" s="35"/>
      <c r="U157" s="40">
        <f t="shared" si="10"/>
        <v>-1</v>
      </c>
    </row>
    <row r="158" spans="1:22" s="19" customFormat="1" ht="25.4" customHeight="1">
      <c r="D158" s="21" t="s">
        <v>598</v>
      </c>
      <c r="E158" s="45">
        <f>+E12+E157</f>
        <v>663831.14733333327</v>
      </c>
      <c r="F158" s="45">
        <f t="shared" ref="F158:Q158" si="12">+F12+F157</f>
        <v>748773.0503333332</v>
      </c>
      <c r="G158" s="45">
        <f t="shared" si="12"/>
        <v>711398.1773333333</v>
      </c>
      <c r="H158" s="45">
        <f t="shared" si="12"/>
        <v>780723.27333333343</v>
      </c>
      <c r="I158" s="45">
        <f t="shared" si="12"/>
        <v>702761.71733333333</v>
      </c>
      <c r="J158" s="45">
        <f t="shared" si="12"/>
        <v>800698.10333333327</v>
      </c>
      <c r="K158" s="45">
        <f t="shared" si="12"/>
        <v>633896.13733333338</v>
      </c>
      <c r="L158" s="45">
        <f t="shared" si="12"/>
        <v>636151.2873333334</v>
      </c>
      <c r="M158" s="45">
        <f t="shared" si="12"/>
        <v>805448.90333333332</v>
      </c>
      <c r="N158" s="45">
        <f t="shared" si="12"/>
        <v>930315.46733333333</v>
      </c>
      <c r="O158" s="45">
        <f t="shared" si="12"/>
        <v>670529.61333333328</v>
      </c>
      <c r="P158" s="45">
        <f t="shared" si="12"/>
        <v>883398.78733333328</v>
      </c>
      <c r="Q158" s="45">
        <f t="shared" si="12"/>
        <v>8967925.665000001</v>
      </c>
      <c r="R158" s="39">
        <f>Q158/Summary!$Q$16</f>
        <v>0.11259132458724842</v>
      </c>
      <c r="S158" s="39"/>
      <c r="T158" s="35"/>
      <c r="U158" s="40">
        <f t="shared" si="10"/>
        <v>-1</v>
      </c>
    </row>
    <row r="159" spans="1:22" s="3" customFormat="1" ht="25.4" customHeight="1">
      <c r="A159" s="3" t="s">
        <v>599</v>
      </c>
      <c r="B159" s="3" t="s">
        <v>54</v>
      </c>
      <c r="D159" s="42" t="s">
        <v>353</v>
      </c>
      <c r="E159" s="68">
        <v>374846.07</v>
      </c>
      <c r="F159" s="68">
        <v>336478.52</v>
      </c>
      <c r="G159" s="68">
        <v>500534.78</v>
      </c>
      <c r="H159" s="68">
        <v>459279.71</v>
      </c>
      <c r="I159" s="68">
        <v>368742.45</v>
      </c>
      <c r="J159" s="68">
        <v>417849.93</v>
      </c>
      <c r="K159" s="68">
        <v>418102.91</v>
      </c>
      <c r="L159" s="68">
        <v>488321.73</v>
      </c>
      <c r="M159" s="68">
        <f>+M158</f>
        <v>805448.90333333332</v>
      </c>
      <c r="N159" s="68">
        <f>+N158</f>
        <v>930315.46733333333</v>
      </c>
      <c r="O159" s="68">
        <f>+O158</f>
        <v>670529.61333333328</v>
      </c>
      <c r="P159" s="68">
        <f>+P158</f>
        <v>883398.78733333328</v>
      </c>
      <c r="Q159" s="68">
        <f>+Q158</f>
        <v>8967925.665000001</v>
      </c>
      <c r="T159" s="35"/>
      <c r="U159" s="40" t="e">
        <f>IF(Q159-T159=0,0,(Q159-T159)/T159)</f>
        <v>#DIV/0!</v>
      </c>
    </row>
    <row r="160" spans="1:22" s="42" customFormat="1" ht="25.4" customHeight="1">
      <c r="E160" s="47"/>
      <c r="F160" s="47"/>
      <c r="G160" s="47"/>
      <c r="H160" s="47"/>
      <c r="I160" s="47"/>
      <c r="T160" s="35"/>
      <c r="U160" s="40"/>
    </row>
    <row r="161" spans="1:21" s="3" customFormat="1" ht="25.4" customHeight="1">
      <c r="D161" s="19" t="s">
        <v>602</v>
      </c>
      <c r="E161" s="48"/>
      <c r="F161" s="48"/>
      <c r="G161" s="48"/>
      <c r="H161" s="48"/>
      <c r="I161" s="48"/>
      <c r="T161" s="35"/>
      <c r="U161" s="40"/>
    </row>
    <row r="162" spans="1:21" s="3" customFormat="1" ht="25.4" customHeight="1">
      <c r="D162" s="19" t="s">
        <v>431</v>
      </c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T162" s="35"/>
      <c r="U162" s="40"/>
    </row>
    <row r="163" spans="1:21" s="3" customFormat="1" ht="25.4" customHeight="1">
      <c r="A163" s="256" t="s">
        <v>297</v>
      </c>
      <c r="B163" s="51" t="s">
        <v>54</v>
      </c>
      <c r="D163" s="26" t="s">
        <v>299</v>
      </c>
      <c r="E163" s="63">
        <v>137500</v>
      </c>
      <c r="F163" s="63">
        <v>137500</v>
      </c>
      <c r="G163" s="63">
        <v>137500</v>
      </c>
      <c r="H163" s="63">
        <v>137500</v>
      </c>
      <c r="I163" s="63">
        <v>137500</v>
      </c>
      <c r="J163" s="63">
        <v>137500</v>
      </c>
      <c r="K163" s="63">
        <v>137500</v>
      </c>
      <c r="L163" s="63">
        <v>137500</v>
      </c>
      <c r="M163" s="63">
        <v>137500</v>
      </c>
      <c r="N163" s="63">
        <v>137500</v>
      </c>
      <c r="O163" s="63">
        <v>137500</v>
      </c>
      <c r="P163" s="63">
        <v>137500</v>
      </c>
      <c r="Q163" s="41">
        <f>SUM(E163:P163)</f>
        <v>1650000</v>
      </c>
      <c r="R163" s="39">
        <f>Q163/Summary!$Q$16</f>
        <v>2.071556929759184E-2</v>
      </c>
      <c r="S163" s="39"/>
      <c r="T163" s="35"/>
      <c r="U163" s="40" t="e">
        <f>-IF(Q163-T163=0,0,(Q163-T163)/T163)</f>
        <v>#DIV/0!</v>
      </c>
    </row>
    <row r="164" spans="1:21" s="3" customFormat="1" ht="25.4" customHeight="1">
      <c r="A164" s="50" t="s">
        <v>300</v>
      </c>
      <c r="B164" s="51" t="s">
        <v>54</v>
      </c>
      <c r="D164" s="26" t="s">
        <v>434</v>
      </c>
      <c r="E164" s="63">
        <v>56900</v>
      </c>
      <c r="F164" s="63">
        <v>56900</v>
      </c>
      <c r="G164" s="63">
        <v>56900</v>
      </c>
      <c r="H164" s="63">
        <v>56900</v>
      </c>
      <c r="I164" s="63">
        <v>56900</v>
      </c>
      <c r="J164" s="63">
        <v>56900</v>
      </c>
      <c r="K164" s="63">
        <v>56900</v>
      </c>
      <c r="L164" s="63">
        <v>56900</v>
      </c>
      <c r="M164" s="63">
        <v>56900</v>
      </c>
      <c r="N164" s="63">
        <v>56900</v>
      </c>
      <c r="O164" s="63">
        <v>56900</v>
      </c>
      <c r="P164" s="63">
        <v>56900</v>
      </c>
      <c r="Q164" s="41">
        <f>SUM(E164:P164)</f>
        <v>682800</v>
      </c>
      <c r="R164" s="39">
        <f>Q164/Summary!$Q$16</f>
        <v>8.5724792220580048E-3</v>
      </c>
      <c r="S164" s="39"/>
      <c r="T164" s="35"/>
      <c r="U164" s="40" t="e">
        <f>-IF(Q164-T164=0,0,(Q164-T164)/T164)</f>
        <v>#DIV/0!</v>
      </c>
    </row>
    <row r="165" spans="1:21" s="3" customFormat="1" ht="25.4" customHeight="1">
      <c r="B165" s="51"/>
      <c r="D165" s="21" t="s">
        <v>437</v>
      </c>
      <c r="E165" s="52">
        <f>SUM(E163:E164)</f>
        <v>194400</v>
      </c>
      <c r="F165" s="52">
        <f t="shared" ref="F165:P165" si="13">SUM(F163:F164)</f>
        <v>194400</v>
      </c>
      <c r="G165" s="52">
        <f t="shared" si="13"/>
        <v>194400</v>
      </c>
      <c r="H165" s="52">
        <f t="shared" si="13"/>
        <v>194400</v>
      </c>
      <c r="I165" s="52">
        <f t="shared" si="13"/>
        <v>194400</v>
      </c>
      <c r="J165" s="52">
        <f t="shared" si="13"/>
        <v>194400</v>
      </c>
      <c r="K165" s="52">
        <f t="shared" si="13"/>
        <v>194400</v>
      </c>
      <c r="L165" s="52">
        <f t="shared" si="13"/>
        <v>194400</v>
      </c>
      <c r="M165" s="52">
        <f t="shared" si="13"/>
        <v>194400</v>
      </c>
      <c r="N165" s="52">
        <f t="shared" si="13"/>
        <v>194400</v>
      </c>
      <c r="O165" s="52">
        <f t="shared" si="13"/>
        <v>194400</v>
      </c>
      <c r="P165" s="52">
        <f t="shared" si="13"/>
        <v>194400</v>
      </c>
      <c r="Q165" s="52">
        <f t="shared" ref="Q165" si="14">SUM(Q163:Q164)</f>
        <v>2332800</v>
      </c>
      <c r="R165" s="39">
        <f>Q165/Summary!$Q$16</f>
        <v>2.9288048519649845E-2</v>
      </c>
      <c r="S165" s="39"/>
      <c r="T165" s="35"/>
      <c r="U165" s="40" t="e">
        <f>-IF(Q165-T165=0,0,(Q165-T165)/T165)</f>
        <v>#DIV/0!</v>
      </c>
    </row>
    <row r="166" spans="1:21" s="3" customFormat="1" ht="25.4" customHeight="1">
      <c r="B166" s="51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T166" s="35"/>
      <c r="U166" s="40"/>
    </row>
    <row r="167" spans="1:21" s="3" customFormat="1" ht="25.4" customHeight="1">
      <c r="A167" s="254" t="s">
        <v>603</v>
      </c>
      <c r="B167" s="51" t="s">
        <v>54</v>
      </c>
      <c r="D167" s="26" t="s">
        <v>309</v>
      </c>
      <c r="E167" s="63">
        <v>0</v>
      </c>
      <c r="F167" s="63">
        <v>0</v>
      </c>
      <c r="G167" s="63">
        <v>0</v>
      </c>
      <c r="H167" s="63">
        <v>0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41">
        <f>SUM(E167:P167)</f>
        <v>0</v>
      </c>
      <c r="R167" s="39">
        <f>Q167/Summary!$Q$16</f>
        <v>0</v>
      </c>
      <c r="S167" s="39"/>
      <c r="T167" s="35"/>
      <c r="U167" s="40">
        <f t="shared" ref="U167:U174" si="15">-IF(Q167-T167=0,0,(Q167-T167)/T167)</f>
        <v>0</v>
      </c>
    </row>
    <row r="168" spans="1:21" s="3" customFormat="1" ht="25.4" customHeight="1">
      <c r="A168" s="54" t="s">
        <v>310</v>
      </c>
      <c r="B168" s="51" t="s">
        <v>54</v>
      </c>
      <c r="D168" s="26" t="s">
        <v>311</v>
      </c>
      <c r="E168" s="63">
        <v>2430</v>
      </c>
      <c r="F168" s="63">
        <v>2430</v>
      </c>
      <c r="G168" s="63">
        <v>2430</v>
      </c>
      <c r="H168" s="63">
        <v>2430</v>
      </c>
      <c r="I168" s="63">
        <v>2430</v>
      </c>
      <c r="J168" s="63">
        <v>2430</v>
      </c>
      <c r="K168" s="63">
        <v>2430</v>
      </c>
      <c r="L168" s="63">
        <v>2430</v>
      </c>
      <c r="M168" s="63">
        <v>2430</v>
      </c>
      <c r="N168" s="63">
        <v>2430</v>
      </c>
      <c r="O168" s="63">
        <v>2430</v>
      </c>
      <c r="P168" s="63">
        <v>2430</v>
      </c>
      <c r="Q168" s="41">
        <f t="shared" ref="Q168:Q173" si="16">SUM(E168:P168)</f>
        <v>29160</v>
      </c>
      <c r="R168" s="39">
        <f>Q168/Summary!$Q$16</f>
        <v>3.6610060649562305E-4</v>
      </c>
      <c r="S168" s="39"/>
      <c r="T168" s="35"/>
      <c r="U168" s="40" t="e">
        <f t="shared" si="15"/>
        <v>#DIV/0!</v>
      </c>
    </row>
    <row r="169" spans="1:21" s="3" customFormat="1" ht="25.4" customHeight="1">
      <c r="A169" s="254" t="s">
        <v>604</v>
      </c>
      <c r="B169" s="51" t="s">
        <v>54</v>
      </c>
      <c r="D169" s="26" t="s">
        <v>313</v>
      </c>
      <c r="E169" s="63">
        <v>3800</v>
      </c>
      <c r="F169" s="63">
        <v>3800</v>
      </c>
      <c r="G169" s="63">
        <v>3800</v>
      </c>
      <c r="H169" s="63">
        <v>3800</v>
      </c>
      <c r="I169" s="63">
        <v>3800</v>
      </c>
      <c r="J169" s="63">
        <v>3800</v>
      </c>
      <c r="K169" s="63">
        <v>3800</v>
      </c>
      <c r="L169" s="63">
        <v>3800</v>
      </c>
      <c r="M169" s="63">
        <v>3800</v>
      </c>
      <c r="N169" s="63">
        <v>3800</v>
      </c>
      <c r="O169" s="63">
        <v>3800</v>
      </c>
      <c r="P169" s="63">
        <v>3800</v>
      </c>
      <c r="Q169" s="41">
        <f t="shared" si="16"/>
        <v>45600</v>
      </c>
      <c r="R169" s="39">
        <f>Q169/Summary!$Q$16</f>
        <v>5.7250300604253814E-4</v>
      </c>
      <c r="S169" s="39"/>
      <c r="T169" s="35"/>
      <c r="U169" s="40" t="e">
        <f t="shared" si="15"/>
        <v>#DIV/0!</v>
      </c>
    </row>
    <row r="170" spans="1:21" s="3" customFormat="1" ht="25.4" customHeight="1">
      <c r="A170" s="254" t="s">
        <v>605</v>
      </c>
      <c r="B170" s="51" t="s">
        <v>54</v>
      </c>
      <c r="D170" s="26" t="s">
        <v>315</v>
      </c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41">
        <f t="shared" ref="Q170:Q171" si="17">SUM(E170:P170)</f>
        <v>0</v>
      </c>
      <c r="R170" s="39">
        <f>Q170/Summary!$Q$16</f>
        <v>0</v>
      </c>
      <c r="S170" s="39"/>
      <c r="T170" s="35"/>
      <c r="U170" s="40">
        <f t="shared" ref="U170:U171" si="18">-IF(Q170-T170=0,0,(Q170-T170)/T170)</f>
        <v>0</v>
      </c>
    </row>
    <row r="171" spans="1:21" s="3" customFormat="1" ht="25.4" customHeight="1">
      <c r="A171" s="254" t="s">
        <v>606</v>
      </c>
      <c r="B171" s="51" t="s">
        <v>54</v>
      </c>
      <c r="D171" s="26" t="s">
        <v>317</v>
      </c>
      <c r="E171" s="63">
        <v>35000</v>
      </c>
      <c r="F171" s="63">
        <v>35000</v>
      </c>
      <c r="G171" s="63">
        <v>35000</v>
      </c>
      <c r="H171" s="63">
        <v>35000</v>
      </c>
      <c r="I171" s="63">
        <v>35000</v>
      </c>
      <c r="J171" s="63">
        <v>35000</v>
      </c>
      <c r="K171" s="63">
        <v>35000</v>
      </c>
      <c r="L171" s="63">
        <v>35000</v>
      </c>
      <c r="M171" s="63">
        <v>35000</v>
      </c>
      <c r="N171" s="63">
        <v>35000</v>
      </c>
      <c r="O171" s="63">
        <v>35000</v>
      </c>
      <c r="P171" s="63">
        <v>35000</v>
      </c>
      <c r="Q171" s="41">
        <f t="shared" si="17"/>
        <v>420000</v>
      </c>
      <c r="R171" s="39">
        <f>Q171/Summary!$Q$16</f>
        <v>5.2730540030233777E-3</v>
      </c>
      <c r="S171" s="39"/>
      <c r="T171" s="35"/>
      <c r="U171" s="40" t="e">
        <f t="shared" si="18"/>
        <v>#DIV/0!</v>
      </c>
    </row>
    <row r="172" spans="1:21" s="3" customFormat="1" ht="25.4" customHeight="1">
      <c r="A172" s="254" t="s">
        <v>1066</v>
      </c>
      <c r="B172" s="51" t="s">
        <v>54</v>
      </c>
      <c r="D172" s="26" t="s">
        <v>1141</v>
      </c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41">
        <f t="shared" si="16"/>
        <v>0</v>
      </c>
      <c r="R172" s="39">
        <f>Q172/Summary!$Q$16</f>
        <v>0</v>
      </c>
      <c r="S172" s="39"/>
      <c r="T172" s="35"/>
      <c r="U172" s="40">
        <f t="shared" si="15"/>
        <v>0</v>
      </c>
    </row>
    <row r="173" spans="1:21" s="3" customFormat="1" ht="25.4" customHeight="1">
      <c r="A173" s="254" t="s">
        <v>1066</v>
      </c>
      <c r="B173" s="51" t="s">
        <v>54</v>
      </c>
      <c r="D173" s="26" t="s">
        <v>1070</v>
      </c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41">
        <f t="shared" si="16"/>
        <v>0</v>
      </c>
      <c r="R173" s="39">
        <f>Q173/Summary!$Q$16</f>
        <v>0</v>
      </c>
      <c r="S173" s="39"/>
      <c r="T173" s="35"/>
      <c r="U173" s="40">
        <f t="shared" si="15"/>
        <v>0</v>
      </c>
    </row>
    <row r="174" spans="1:21" s="19" customFormat="1" ht="25.4" customHeight="1">
      <c r="A174" s="54"/>
      <c r="B174" s="51"/>
      <c r="D174" s="19" t="s">
        <v>318</v>
      </c>
      <c r="E174" s="52">
        <f>SUM(E167:E173)</f>
        <v>41230</v>
      </c>
      <c r="F174" s="52">
        <f t="shared" ref="F174:P174" si="19">SUM(F167:F173)</f>
        <v>41230</v>
      </c>
      <c r="G174" s="52">
        <f t="shared" si="19"/>
        <v>41230</v>
      </c>
      <c r="H174" s="52">
        <f t="shared" si="19"/>
        <v>41230</v>
      </c>
      <c r="I174" s="52">
        <f t="shared" si="19"/>
        <v>41230</v>
      </c>
      <c r="J174" s="52">
        <f t="shared" si="19"/>
        <v>41230</v>
      </c>
      <c r="K174" s="52">
        <f t="shared" si="19"/>
        <v>41230</v>
      </c>
      <c r="L174" s="52">
        <f t="shared" si="19"/>
        <v>41230</v>
      </c>
      <c r="M174" s="52">
        <f t="shared" si="19"/>
        <v>41230</v>
      </c>
      <c r="N174" s="52">
        <f t="shared" si="19"/>
        <v>41230</v>
      </c>
      <c r="O174" s="52">
        <f t="shared" si="19"/>
        <v>41230</v>
      </c>
      <c r="P174" s="52">
        <f t="shared" si="19"/>
        <v>41230</v>
      </c>
      <c r="Q174" s="52">
        <f t="shared" ref="Q174" si="20">SUM(Q167:Q173)</f>
        <v>494760</v>
      </c>
      <c r="R174" s="39">
        <f>Q174/Summary!$Q$16</f>
        <v>6.211657615561539E-3</v>
      </c>
      <c r="S174" s="39"/>
      <c r="T174" s="35"/>
      <c r="U174" s="40" t="e">
        <f t="shared" si="15"/>
        <v>#DIV/0!</v>
      </c>
    </row>
    <row r="175" spans="1:21" s="3" customFormat="1" ht="25.4" customHeight="1">
      <c r="A175" s="50"/>
      <c r="D175" s="19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T175" s="35"/>
      <c r="U175" s="40"/>
    </row>
    <row r="176" spans="1:21" s="3" customFormat="1" ht="25.4" customHeight="1">
      <c r="A176" s="254" t="s">
        <v>609</v>
      </c>
      <c r="B176" s="51" t="s">
        <v>54</v>
      </c>
      <c r="D176" s="26" t="s">
        <v>320</v>
      </c>
      <c r="E176" s="63">
        <v>26956.95</v>
      </c>
      <c r="F176" s="63">
        <v>26956.95</v>
      </c>
      <c r="G176" s="63">
        <v>26956.95</v>
      </c>
      <c r="H176" s="63">
        <v>26956.95</v>
      </c>
      <c r="I176" s="63">
        <v>26956.95</v>
      </c>
      <c r="J176" s="63">
        <v>26956.95</v>
      </c>
      <c r="K176" s="63">
        <v>26956.95</v>
      </c>
      <c r="L176" s="63">
        <v>26956.95</v>
      </c>
      <c r="M176" s="63">
        <v>26956.95</v>
      </c>
      <c r="N176" s="63">
        <v>26956.95</v>
      </c>
      <c r="O176" s="63">
        <v>26956.95</v>
      </c>
      <c r="P176" s="63">
        <v>26956.95</v>
      </c>
      <c r="Q176" s="41">
        <f>SUM(E176:P176)</f>
        <v>323483.40000000008</v>
      </c>
      <c r="R176" s="39">
        <f>Q176/Summary!$Q$16</f>
        <v>4.0612986601943164E-3</v>
      </c>
      <c r="S176" s="39"/>
      <c r="T176" s="35"/>
      <c r="U176" s="40" t="e">
        <f t="shared" ref="U176:U184" si="21">-IF(Q176-T176=0,0,(Q176-T176)/T176)</f>
        <v>#DIV/0!</v>
      </c>
    </row>
    <row r="177" spans="1:21" s="3" customFormat="1" ht="25.4" customHeight="1">
      <c r="A177" s="254" t="s">
        <v>610</v>
      </c>
      <c r="B177" s="51" t="s">
        <v>54</v>
      </c>
      <c r="D177" s="26" t="s">
        <v>322</v>
      </c>
      <c r="E177" s="63">
        <v>10036.380000000001</v>
      </c>
      <c r="F177" s="63">
        <v>10036.380000000001</v>
      </c>
      <c r="G177" s="63">
        <v>10036.380000000001</v>
      </c>
      <c r="H177" s="63">
        <v>10036.380000000001</v>
      </c>
      <c r="I177" s="63">
        <v>10036.380000000001</v>
      </c>
      <c r="J177" s="63">
        <v>10036.380000000001</v>
      </c>
      <c r="K177" s="63">
        <v>10036.380000000001</v>
      </c>
      <c r="L177" s="63">
        <v>10036.380000000001</v>
      </c>
      <c r="M177" s="63">
        <v>10036.380000000001</v>
      </c>
      <c r="N177" s="63">
        <v>10036.380000000001</v>
      </c>
      <c r="O177" s="63">
        <v>10036.380000000001</v>
      </c>
      <c r="P177" s="63">
        <v>10036.380000000001</v>
      </c>
      <c r="Q177" s="41">
        <f t="shared" ref="Q177:Q183" si="22">SUM(E177:P177)</f>
        <v>120436.56000000004</v>
      </c>
      <c r="R177" s="39">
        <f>Q177/Summary!$Q$16</f>
        <v>1.5120678209961081E-3</v>
      </c>
      <c r="S177" s="39"/>
      <c r="T177" s="35"/>
      <c r="U177" s="40" t="e">
        <f t="shared" si="21"/>
        <v>#DIV/0!</v>
      </c>
    </row>
    <row r="178" spans="1:21" s="3" customFormat="1" ht="25.4" customHeight="1">
      <c r="A178" s="254" t="s">
        <v>611</v>
      </c>
      <c r="B178" s="51" t="s">
        <v>54</v>
      </c>
      <c r="D178" s="26" t="s">
        <v>324</v>
      </c>
      <c r="E178" s="63">
        <v>1471.4599999999998</v>
      </c>
      <c r="F178" s="63">
        <v>1471.46</v>
      </c>
      <c r="G178" s="63">
        <v>1471.46</v>
      </c>
      <c r="H178" s="63">
        <v>1471.46</v>
      </c>
      <c r="I178" s="63">
        <v>1471.46</v>
      </c>
      <c r="J178" s="63">
        <v>1471.46</v>
      </c>
      <c r="K178" s="63">
        <v>1471.46</v>
      </c>
      <c r="L178" s="63">
        <v>1471.46</v>
      </c>
      <c r="M178" s="63">
        <v>1471.46</v>
      </c>
      <c r="N178" s="63">
        <v>1471.46</v>
      </c>
      <c r="O178" s="63">
        <v>1471.46</v>
      </c>
      <c r="P178" s="63">
        <v>1471.46</v>
      </c>
      <c r="Q178" s="41">
        <f t="shared" si="22"/>
        <v>17657.519999999997</v>
      </c>
      <c r="R178" s="39">
        <f>Q178/Summary!$Q$16</f>
        <v>2.2168822980825079E-4</v>
      </c>
      <c r="S178" s="39"/>
      <c r="T178" s="35"/>
      <c r="U178" s="40" t="e">
        <f t="shared" si="21"/>
        <v>#DIV/0!</v>
      </c>
    </row>
    <row r="179" spans="1:21" s="3" customFormat="1" ht="25.4" customHeight="1">
      <c r="A179" s="254" t="s">
        <v>612</v>
      </c>
      <c r="B179" s="51" t="s">
        <v>54</v>
      </c>
      <c r="D179" s="26" t="s">
        <v>326</v>
      </c>
      <c r="E179" s="63">
        <v>777.59999999999991</v>
      </c>
      <c r="F179" s="63">
        <v>777.6</v>
      </c>
      <c r="G179" s="63">
        <v>777.6</v>
      </c>
      <c r="H179" s="63">
        <v>777.6</v>
      </c>
      <c r="I179" s="63">
        <v>777.6</v>
      </c>
      <c r="J179" s="63">
        <v>777.6</v>
      </c>
      <c r="K179" s="63">
        <v>777.6</v>
      </c>
      <c r="L179" s="63">
        <v>777.6</v>
      </c>
      <c r="M179" s="63">
        <v>777.6</v>
      </c>
      <c r="N179" s="63">
        <v>777.6</v>
      </c>
      <c r="O179" s="63">
        <v>777.6</v>
      </c>
      <c r="P179" s="63">
        <v>777.6</v>
      </c>
      <c r="Q179" s="41">
        <f t="shared" si="22"/>
        <v>9331.2000000000007</v>
      </c>
      <c r="R179" s="39">
        <f>Q179/Summary!$Q$16</f>
        <v>1.1715219407859939E-4</v>
      </c>
      <c r="S179" s="39"/>
      <c r="T179" s="35"/>
      <c r="U179" s="40" t="e">
        <f t="shared" si="21"/>
        <v>#DIV/0!</v>
      </c>
    </row>
    <row r="180" spans="1:21" s="3" customFormat="1" ht="22.5" customHeight="1">
      <c r="A180" s="254" t="s">
        <v>613</v>
      </c>
      <c r="B180" s="51" t="s">
        <v>54</v>
      </c>
      <c r="D180" s="26" t="s">
        <v>328</v>
      </c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41">
        <f t="shared" si="22"/>
        <v>0</v>
      </c>
      <c r="R180" s="39">
        <f>Q180/Summary!$Q$16</f>
        <v>0</v>
      </c>
      <c r="S180" s="39"/>
      <c r="T180" s="35"/>
      <c r="U180" s="40">
        <f t="shared" si="21"/>
        <v>0</v>
      </c>
    </row>
    <row r="181" spans="1:21" s="3" customFormat="1" ht="25.4" customHeight="1">
      <c r="A181" s="254" t="s">
        <v>614</v>
      </c>
      <c r="B181" s="51" t="s">
        <v>54</v>
      </c>
      <c r="D181" s="26" t="s">
        <v>330</v>
      </c>
      <c r="E181" s="63">
        <v>14869</v>
      </c>
      <c r="F181" s="63">
        <v>14869</v>
      </c>
      <c r="G181" s="63">
        <v>14869</v>
      </c>
      <c r="H181" s="63">
        <v>14869</v>
      </c>
      <c r="I181" s="63">
        <v>14869</v>
      </c>
      <c r="J181" s="63">
        <v>14869</v>
      </c>
      <c r="K181" s="63">
        <v>14869</v>
      </c>
      <c r="L181" s="63">
        <v>14869</v>
      </c>
      <c r="M181" s="63">
        <v>14869</v>
      </c>
      <c r="N181" s="63">
        <v>14869</v>
      </c>
      <c r="O181" s="63">
        <v>14869</v>
      </c>
      <c r="P181" s="63">
        <v>14869</v>
      </c>
      <c r="Q181" s="41">
        <f t="shared" si="22"/>
        <v>178428</v>
      </c>
      <c r="R181" s="39">
        <f>Q181/Summary!$Q$16</f>
        <v>2.2401439991701316E-3</v>
      </c>
      <c r="S181" s="39"/>
      <c r="T181" s="35"/>
      <c r="U181" s="40" t="e">
        <f t="shared" si="21"/>
        <v>#DIV/0!</v>
      </c>
    </row>
    <row r="182" spans="1:21" s="3" customFormat="1" ht="25.4" customHeight="1">
      <c r="A182" s="254" t="s">
        <v>615</v>
      </c>
      <c r="B182" s="51" t="s">
        <v>54</v>
      </c>
      <c r="D182" s="26" t="s">
        <v>332</v>
      </c>
      <c r="E182" s="63">
        <v>3888</v>
      </c>
      <c r="F182" s="63">
        <v>3888</v>
      </c>
      <c r="G182" s="63">
        <v>3888</v>
      </c>
      <c r="H182" s="63">
        <v>3888</v>
      </c>
      <c r="I182" s="63">
        <v>3888</v>
      </c>
      <c r="J182" s="63">
        <v>3888</v>
      </c>
      <c r="K182" s="63">
        <v>3888</v>
      </c>
      <c r="L182" s="63">
        <v>3888</v>
      </c>
      <c r="M182" s="63">
        <v>3888</v>
      </c>
      <c r="N182" s="63">
        <v>3888</v>
      </c>
      <c r="O182" s="63">
        <v>3888</v>
      </c>
      <c r="P182" s="63">
        <v>3888</v>
      </c>
      <c r="Q182" s="41">
        <f t="shared" si="22"/>
        <v>46656</v>
      </c>
      <c r="R182" s="39">
        <f>Q182/Summary!$Q$16</f>
        <v>5.8576097039299692E-4</v>
      </c>
      <c r="S182" s="39"/>
      <c r="T182" s="35"/>
      <c r="U182" s="40" t="e">
        <f t="shared" si="21"/>
        <v>#DIV/0!</v>
      </c>
    </row>
    <row r="183" spans="1:21" s="3" customFormat="1" ht="25.4" customHeight="1">
      <c r="A183" s="254" t="s">
        <v>616</v>
      </c>
      <c r="B183" s="51" t="s">
        <v>54</v>
      </c>
      <c r="D183" s="26" t="s">
        <v>334</v>
      </c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41">
        <f t="shared" si="22"/>
        <v>0</v>
      </c>
      <c r="R183" s="39">
        <f>Q183/Summary!$Q$16</f>
        <v>0</v>
      </c>
      <c r="S183" s="39"/>
      <c r="T183" s="35"/>
      <c r="U183" s="40">
        <f t="shared" si="21"/>
        <v>0</v>
      </c>
    </row>
    <row r="184" spans="1:21" s="19" customFormat="1" ht="25.4" customHeight="1">
      <c r="A184" s="54"/>
      <c r="B184" s="51"/>
      <c r="D184" s="19" t="s">
        <v>335</v>
      </c>
      <c r="E184" s="45">
        <f>SUM(E176:E183)</f>
        <v>57999.39</v>
      </c>
      <c r="F184" s="45">
        <f t="shared" ref="F184:P184" si="23">SUM(F176:F183)</f>
        <v>57999.39</v>
      </c>
      <c r="G184" s="45">
        <f t="shared" si="23"/>
        <v>57999.39</v>
      </c>
      <c r="H184" s="45">
        <f t="shared" si="23"/>
        <v>57999.39</v>
      </c>
      <c r="I184" s="45">
        <f t="shared" si="23"/>
        <v>57999.39</v>
      </c>
      <c r="J184" s="45">
        <f t="shared" si="23"/>
        <v>57999.39</v>
      </c>
      <c r="K184" s="45">
        <f t="shared" si="23"/>
        <v>57999.39</v>
      </c>
      <c r="L184" s="45">
        <f t="shared" si="23"/>
        <v>57999.39</v>
      </c>
      <c r="M184" s="45">
        <f t="shared" si="23"/>
        <v>57999.39</v>
      </c>
      <c r="N184" s="45">
        <f t="shared" si="23"/>
        <v>57999.39</v>
      </c>
      <c r="O184" s="45">
        <f t="shared" si="23"/>
        <v>57999.39</v>
      </c>
      <c r="P184" s="45">
        <f t="shared" si="23"/>
        <v>57999.39</v>
      </c>
      <c r="Q184" s="45">
        <f t="shared" ref="Q184" si="24">SUM(Q176:Q183)</f>
        <v>695992.68000000017</v>
      </c>
      <c r="R184" s="39">
        <f>Q184/Summary!$Q$16</f>
        <v>8.7381118746404033E-3</v>
      </c>
      <c r="S184" s="39"/>
      <c r="T184" s="35"/>
      <c r="U184" s="40" t="e">
        <f t="shared" si="21"/>
        <v>#DIV/0!</v>
      </c>
    </row>
    <row r="185" spans="1:21" s="19" customFormat="1" ht="25.4" customHeight="1">
      <c r="A185" s="54"/>
      <c r="B185" s="51"/>
      <c r="D185" s="21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T185" s="35"/>
      <c r="U185" s="40"/>
    </row>
    <row r="186" spans="1:21" s="3" customFormat="1" ht="25.4" customHeight="1">
      <c r="A186" s="254" t="s">
        <v>617</v>
      </c>
      <c r="B186" s="51" t="s">
        <v>54</v>
      </c>
      <c r="D186" s="26" t="s">
        <v>337</v>
      </c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41">
        <f>SUM(E186:P186)</f>
        <v>0</v>
      </c>
      <c r="T186" s="35"/>
      <c r="U186" s="40">
        <f t="shared" ref="U186:U194" si="25">-IF(Q186-T186=0,0,(Q186-T186)/T186)</f>
        <v>0</v>
      </c>
    </row>
    <row r="187" spans="1:21" s="3" customFormat="1" ht="25.4" customHeight="1">
      <c r="A187" s="254" t="s">
        <v>618</v>
      </c>
      <c r="B187" s="51" t="s">
        <v>54</v>
      </c>
      <c r="D187" s="3" t="s">
        <v>339</v>
      </c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41">
        <f t="shared" ref="Q187:Q192" si="26">SUM(E187:P187)</f>
        <v>0</v>
      </c>
      <c r="T187" s="35"/>
      <c r="U187" s="40">
        <f t="shared" si="25"/>
        <v>0</v>
      </c>
    </row>
    <row r="188" spans="1:21" s="3" customFormat="1" ht="25.4" customHeight="1">
      <c r="A188" s="254" t="s">
        <v>619</v>
      </c>
      <c r="B188" s="51" t="s">
        <v>54</v>
      </c>
      <c r="D188" s="26" t="s">
        <v>341</v>
      </c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41">
        <f t="shared" si="26"/>
        <v>0</v>
      </c>
      <c r="T188" s="35"/>
      <c r="U188" s="40">
        <f t="shared" si="25"/>
        <v>0</v>
      </c>
    </row>
    <row r="189" spans="1:21" s="3" customFormat="1" ht="25.4" customHeight="1">
      <c r="A189" s="254" t="s">
        <v>620</v>
      </c>
      <c r="B189" s="51" t="s">
        <v>54</v>
      </c>
      <c r="D189" s="26" t="s">
        <v>343</v>
      </c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41">
        <f t="shared" si="26"/>
        <v>0</v>
      </c>
      <c r="T189" s="35"/>
      <c r="U189" s="40">
        <f t="shared" si="25"/>
        <v>0</v>
      </c>
    </row>
    <row r="190" spans="1:21" s="3" customFormat="1" ht="25.4" customHeight="1">
      <c r="A190" s="254" t="s">
        <v>621</v>
      </c>
      <c r="B190" s="51" t="s">
        <v>54</v>
      </c>
      <c r="D190" s="26" t="s">
        <v>345</v>
      </c>
      <c r="E190" s="63">
        <v>900</v>
      </c>
      <c r="F190" s="63">
        <v>1200</v>
      </c>
      <c r="G190" s="63">
        <v>900</v>
      </c>
      <c r="H190" s="63">
        <v>900</v>
      </c>
      <c r="I190" s="63">
        <v>900</v>
      </c>
      <c r="J190" s="63">
        <v>900</v>
      </c>
      <c r="K190" s="63">
        <v>900</v>
      </c>
      <c r="L190" s="63">
        <v>900</v>
      </c>
      <c r="M190" s="63">
        <v>900</v>
      </c>
      <c r="N190" s="63">
        <v>900</v>
      </c>
      <c r="O190" s="63">
        <v>900</v>
      </c>
      <c r="P190" s="63">
        <v>900</v>
      </c>
      <c r="Q190" s="41">
        <f t="shared" si="26"/>
        <v>11100</v>
      </c>
      <c r="R190" s="39">
        <f>Q190/Summary!$Q$16</f>
        <v>1.3935928436561784E-4</v>
      </c>
      <c r="S190" s="39"/>
      <c r="T190" s="35"/>
      <c r="U190" s="40" t="e">
        <f t="shared" si="25"/>
        <v>#DIV/0!</v>
      </c>
    </row>
    <row r="191" spans="1:21" s="3" customFormat="1" ht="25.4" customHeight="1">
      <c r="A191" s="254" t="s">
        <v>346</v>
      </c>
      <c r="B191" s="51" t="s">
        <v>54</v>
      </c>
      <c r="D191" s="26" t="s">
        <v>347</v>
      </c>
      <c r="E191" s="63">
        <v>5335.9499999999989</v>
      </c>
      <c r="F191" s="63">
        <v>5314.95</v>
      </c>
      <c r="G191" s="63">
        <v>5294.0999999999985</v>
      </c>
      <c r="H191" s="63">
        <v>5273.4000000000015</v>
      </c>
      <c r="I191" s="63">
        <v>5133.1499999999996</v>
      </c>
      <c r="J191" s="63">
        <v>5056.2</v>
      </c>
      <c r="K191" s="63">
        <v>4963.2000000000007</v>
      </c>
      <c r="L191" s="63">
        <v>4963.2000000000007</v>
      </c>
      <c r="M191" s="63">
        <v>4927.050000000002</v>
      </c>
      <c r="N191" s="63">
        <v>4891.3500000000004</v>
      </c>
      <c r="O191" s="63">
        <v>4873.6499999999996</v>
      </c>
      <c r="P191" s="63">
        <v>4856.0999999999985</v>
      </c>
      <c r="Q191" s="41">
        <f t="shared" si="26"/>
        <v>60882.299999999996</v>
      </c>
      <c r="R191" s="39">
        <f>Q191/Summary!$Q$16</f>
        <v>7.6437060887683372E-4</v>
      </c>
      <c r="S191" s="39"/>
      <c r="T191" s="35"/>
      <c r="U191" s="40" t="e">
        <f t="shared" si="25"/>
        <v>#DIV/0!</v>
      </c>
    </row>
    <row r="192" spans="1:21" s="3" customFormat="1" ht="25.4" customHeight="1">
      <c r="A192" s="3" t="s">
        <v>624</v>
      </c>
      <c r="B192" s="51" t="s">
        <v>54</v>
      </c>
      <c r="D192" s="26" t="s">
        <v>349</v>
      </c>
      <c r="E192" s="63">
        <v>15798.75</v>
      </c>
      <c r="F192" s="63">
        <v>15538.349999999997</v>
      </c>
      <c r="G192" s="63">
        <v>15335.400000000003</v>
      </c>
      <c r="H192" s="63">
        <v>15404.699999999995</v>
      </c>
      <c r="I192" s="63">
        <v>15092.55</v>
      </c>
      <c r="J192" s="63">
        <v>14829.150000000003</v>
      </c>
      <c r="K192" s="63">
        <v>14709.449999999995</v>
      </c>
      <c r="L192" s="63">
        <v>14736.3</v>
      </c>
      <c r="M192" s="63">
        <v>14795.999999999996</v>
      </c>
      <c r="N192" s="63">
        <v>14905.649999999994</v>
      </c>
      <c r="O192" s="63">
        <v>14723.7</v>
      </c>
      <c r="P192" s="63">
        <f>14676.3+4.85</f>
        <v>14681.15</v>
      </c>
      <c r="Q192" s="41">
        <f t="shared" si="26"/>
        <v>180551.15</v>
      </c>
      <c r="R192" s="39">
        <f>Q192/Summary!$Q$16</f>
        <v>2.2667999148999387E-3</v>
      </c>
      <c r="S192" s="39"/>
      <c r="T192" s="35"/>
      <c r="U192" s="40" t="e">
        <f t="shared" si="25"/>
        <v>#DIV/0!</v>
      </c>
    </row>
    <row r="193" spans="1:21" s="3" customFormat="1" ht="25.4" customHeight="1">
      <c r="A193" s="54"/>
      <c r="B193" s="51"/>
      <c r="D193" s="19" t="s">
        <v>350</v>
      </c>
      <c r="E193" s="52">
        <f>SUM(E186:E192)</f>
        <v>22034.699999999997</v>
      </c>
      <c r="F193" s="52">
        <f t="shared" ref="F193:P193" si="27">SUM(F186:F192)</f>
        <v>22053.299999999996</v>
      </c>
      <c r="G193" s="52">
        <f t="shared" si="27"/>
        <v>21529.5</v>
      </c>
      <c r="H193" s="52">
        <f t="shared" si="27"/>
        <v>21578.1</v>
      </c>
      <c r="I193" s="52">
        <f t="shared" si="27"/>
        <v>21125.699999999997</v>
      </c>
      <c r="J193" s="52">
        <f t="shared" si="27"/>
        <v>20785.350000000002</v>
      </c>
      <c r="K193" s="52">
        <f t="shared" si="27"/>
        <v>20572.649999999994</v>
      </c>
      <c r="L193" s="52">
        <f t="shared" si="27"/>
        <v>20599.5</v>
      </c>
      <c r="M193" s="52">
        <f t="shared" si="27"/>
        <v>20623.05</v>
      </c>
      <c r="N193" s="52">
        <f t="shared" si="27"/>
        <v>20696.999999999993</v>
      </c>
      <c r="O193" s="52">
        <f t="shared" si="27"/>
        <v>20497.349999999999</v>
      </c>
      <c r="P193" s="52">
        <f t="shared" si="27"/>
        <v>20437.25</v>
      </c>
      <c r="Q193" s="52">
        <f t="shared" ref="Q193" si="28">SUM(Q186:Q192)</f>
        <v>252533.44999999998</v>
      </c>
      <c r="R193" s="39">
        <f>Q193/Summary!$Q$16</f>
        <v>3.1705298081423903E-3</v>
      </c>
      <c r="S193" s="39"/>
      <c r="T193" s="35"/>
      <c r="U193" s="40" t="e">
        <f t="shared" si="25"/>
        <v>#DIV/0!</v>
      </c>
    </row>
    <row r="194" spans="1:21" s="3" customFormat="1" ht="25.4" customHeight="1">
      <c r="A194" s="54"/>
      <c r="B194" s="51"/>
      <c r="D194" s="19" t="s">
        <v>351</v>
      </c>
      <c r="E194" s="52">
        <f>E165+E174+E184+E193</f>
        <v>315664.09000000003</v>
      </c>
      <c r="F194" s="52">
        <f t="shared" ref="F194:P194" si="29">F165+F174+F184+F193</f>
        <v>315682.69</v>
      </c>
      <c r="G194" s="52">
        <f t="shared" si="29"/>
        <v>315158.89</v>
      </c>
      <c r="H194" s="52">
        <f t="shared" si="29"/>
        <v>315207.49</v>
      </c>
      <c r="I194" s="52">
        <f t="shared" si="29"/>
        <v>314755.09000000003</v>
      </c>
      <c r="J194" s="52">
        <f t="shared" si="29"/>
        <v>314414.74</v>
      </c>
      <c r="K194" s="52">
        <f t="shared" si="29"/>
        <v>314202.04000000004</v>
      </c>
      <c r="L194" s="52">
        <f t="shared" si="29"/>
        <v>314228.89</v>
      </c>
      <c r="M194" s="52">
        <f t="shared" si="29"/>
        <v>314252.44</v>
      </c>
      <c r="N194" s="52">
        <f t="shared" si="29"/>
        <v>314326.39</v>
      </c>
      <c r="O194" s="52">
        <f t="shared" si="29"/>
        <v>314126.74</v>
      </c>
      <c r="P194" s="52">
        <f t="shared" si="29"/>
        <v>314066.64</v>
      </c>
      <c r="Q194" s="379">
        <f t="shared" ref="Q194" si="30">Q165+Q174+Q184+Q193</f>
        <v>3776086.1300000004</v>
      </c>
      <c r="R194" s="39">
        <f>Q194/Summary!$Q$16</f>
        <v>4.7408347817994183E-2</v>
      </c>
      <c r="S194" s="39"/>
      <c r="T194" s="35"/>
      <c r="U194" s="40" t="e">
        <f t="shared" si="25"/>
        <v>#DIV/0!</v>
      </c>
    </row>
    <row r="195" spans="1:21" s="3" customFormat="1" ht="25.4" customHeight="1">
      <c r="A195" s="54"/>
      <c r="B195" s="51"/>
      <c r="D195" s="21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T195" s="35"/>
      <c r="U195" s="40"/>
    </row>
    <row r="196" spans="1:21" s="19" customFormat="1" ht="25.4" customHeight="1">
      <c r="A196" s="255" t="s">
        <v>108</v>
      </c>
      <c r="B196" s="69" t="s">
        <v>54</v>
      </c>
      <c r="D196" s="19" t="s">
        <v>354</v>
      </c>
      <c r="E196" s="277">
        <v>15</v>
      </c>
      <c r="F196" s="277">
        <v>15</v>
      </c>
      <c r="G196" s="277">
        <v>15</v>
      </c>
      <c r="H196" s="277">
        <v>15</v>
      </c>
      <c r="I196" s="277">
        <v>15</v>
      </c>
      <c r="J196" s="277">
        <v>15</v>
      </c>
      <c r="K196" s="277">
        <v>15</v>
      </c>
      <c r="L196" s="277">
        <v>15</v>
      </c>
      <c r="M196" s="277">
        <v>15</v>
      </c>
      <c r="N196" s="277">
        <v>15</v>
      </c>
      <c r="O196" s="277">
        <v>15</v>
      </c>
      <c r="P196" s="277">
        <v>15</v>
      </c>
      <c r="Q196" s="65">
        <f>SUM(E196:P196)/12</f>
        <v>15</v>
      </c>
      <c r="T196" s="35"/>
      <c r="U196" s="40" t="e">
        <f>-IF(Q196-T196=0,0,(Q196-T196)/T196)</f>
        <v>#DIV/0!</v>
      </c>
    </row>
    <row r="197" spans="1:21" ht="25.4" customHeight="1">
      <c r="B197" s="57"/>
      <c r="J197" s="7"/>
      <c r="K197" s="7"/>
      <c r="L197" s="7"/>
      <c r="M197" s="7"/>
      <c r="N197" s="7"/>
      <c r="O197" s="7"/>
      <c r="P197" s="7"/>
      <c r="T197" s="35"/>
      <c r="U197" s="40"/>
    </row>
    <row r="198" spans="1:21" ht="25.4" customHeight="1">
      <c r="A198" s="257"/>
      <c r="B198" s="57"/>
      <c r="D198" s="58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231" t="s">
        <v>1060</v>
      </c>
      <c r="Q198" s="232">
        <f>+Q165+Q174</f>
        <v>2827560</v>
      </c>
      <c r="T198" s="35"/>
      <c r="U198" s="40"/>
    </row>
    <row r="199" spans="1:21" ht="26.25" customHeight="1">
      <c r="P199" s="231" t="s">
        <v>788</v>
      </c>
      <c r="Q199" s="232">
        <f>+Q184+Q193</f>
        <v>948526.13000000012</v>
      </c>
    </row>
    <row r="200" spans="1:21" ht="26.25" customHeight="1">
      <c r="P200" s="174"/>
      <c r="Q200" s="232">
        <f>+Q198+Q199-Q194</f>
        <v>0</v>
      </c>
    </row>
  </sheetData>
  <autoFilter ref="Q1:Q198"/>
  <phoneticPr fontId="56" type="noConversion"/>
  <dataValidations count="44">
    <dataValidation type="textLength" errorStyle="information" allowBlank="1" showInputMessage="1" showErrorMessage="1" error="XLBVal:6=170458.81_x000d__x000a_" sqref="E12:P12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93_x000d__x000a_" sqref="E43:P43">
      <formula1>0</formula1>
      <formula2>300</formula2>
    </dataValidation>
    <dataValidation type="textLength" errorStyle="information" allowBlank="1" showInputMessage="1" showErrorMessage="1" error="XLBVal:6=6966993_x000d__x000a_" sqref="Q12">
      <formula1>0</formula1>
      <formula2>300</formula2>
    </dataValidation>
    <dataValidation type="textLength" errorStyle="information" allowBlank="1" showInputMessage="1" showErrorMessage="1" error="XLBVal:6=6532.68_x000d__x000a_" sqref="E26:P26">
      <formula1>0</formula1>
      <formula2>300</formula2>
    </dataValidation>
    <dataValidation type="textLength" errorStyle="information" allowBlank="1" showInputMessage="1" showErrorMessage="1" error="XLBVal:2=0_x000d__x000a_" sqref="H145:I145 E15:P20 Q15:Q156 Q163:Q164 Q186:Q192 E152:P155 K145:M145 E183:P183 E167:P167 E76:P138 F13 I25:P25 E44:P44 G45 J45 M45 O45 E71:P71 E73:P73 E51:P67 E143:H143 G144:G145 J144:J145 N144:N145 E22:P24 E27:P42 E46:P47 E169:P173 E140:P142 O145:P145 W56 E145:E150 F146:P150 F145 E186:P191">
      <formula1>0</formula1>
      <formula2>300</formula2>
    </dataValidation>
    <dataValidation type="textLength" errorStyle="information" allowBlank="1" showInputMessage="1" showErrorMessage="1" error="XLBVal:6=900_x000d__x000a_" sqref="E21:P21">
      <formula1>0</formula1>
      <formula2>300</formula2>
    </dataValidation>
    <dataValidation type="textLength" errorStyle="information" allowBlank="1" showInputMessage="1" showErrorMessage="1" error="XLBVal:6=112_x000d__x000a_" sqref="E156:P156">
      <formula1>0</formula1>
      <formula2>300</formula2>
    </dataValidation>
    <dataValidation type="textLength" errorStyle="information" allowBlank="1" showInputMessage="1" showErrorMessage="1" error="XLBVal:6=1200_x000d__x000a_" sqref="E25:H25">
      <formula1>0</formula1>
      <formula2>300</formula2>
    </dataValidation>
    <dataValidation type="textLength" errorStyle="information" allowBlank="1" showInputMessage="1" showErrorMessage="1" error="XLBVal:6=12822_x000d__x000a_" sqref="E45:F45 H45:I45 K45:L45 N45 P45 E48:P48 E144:F144 H144:I144 K144:L144 O144:P144">
      <formula1>0</formula1>
      <formula2>300</formula2>
    </dataValidation>
    <dataValidation type="textLength" errorStyle="information" allowBlank="1" showInputMessage="1" showErrorMessage="1" error="XLBVal:6=114.7_x000d__x000a_" sqref="E50:P50">
      <formula1>0</formula1>
      <formula2>300</formula2>
    </dataValidation>
    <dataValidation type="textLength" errorStyle="information" allowBlank="1" showInputMessage="1" showErrorMessage="1" error="XLBVal:6=562.4_x000d__x000a_" sqref="E68:P68">
      <formula1>0</formula1>
      <formula2>300</formula2>
    </dataValidation>
    <dataValidation type="textLength" errorStyle="information" allowBlank="1" showInputMessage="1" showErrorMessage="1" error="XLBVal:6=814.16_x000d__x000a_" sqref="E69:P69">
      <formula1>0</formula1>
      <formula2>300</formula2>
    </dataValidation>
    <dataValidation type="textLength" errorStyle="information" allowBlank="1" showInputMessage="1" showErrorMessage="1" error="XLBVal:6=1509.12_x000d__x000a_" sqref="E70:P70">
      <formula1>0</formula1>
      <formula2>300</formula2>
    </dataValidation>
    <dataValidation type="textLength" errorStyle="information" allowBlank="1" showInputMessage="1" showErrorMessage="1" error="XLBVal:6=2434.6_x000d__x000a_" sqref="W72 E72:P72">
      <formula1>0</formula1>
      <formula2>300</formula2>
    </dataValidation>
    <dataValidation type="textLength" errorStyle="information" allowBlank="1" showInputMessage="1" showErrorMessage="1" sqref="Q193:Q194 F160:I161 E193:P195 E160:E162 F162:P162">
      <formula1>0</formula1>
      <formula2>300</formula2>
    </dataValidation>
    <dataValidation type="textLength" errorStyle="information" allowBlank="1" showInputMessage="1" showErrorMessage="1" error="XLBVal:6=2565_x000d__x000a_" sqref="E74:P74">
      <formula1>0</formula1>
      <formula2>300</formula2>
    </dataValidation>
    <dataValidation type="textLength" errorStyle="information" allowBlank="1" showInputMessage="1" showErrorMessage="1" error="XLBVal:6=5035.9_x000d__x000a_" sqref="E75:P75">
      <formula1>0</formula1>
      <formula2>300</formula2>
    </dataValidation>
    <dataValidation type="textLength" errorStyle="information" allowBlank="1" showInputMessage="1" showErrorMessage="1" error="XLBVal:6=173997.36_x000d__x000a_" sqref="E151:P151">
      <formula1>0</formula1>
      <formula2>300</formula2>
    </dataValidation>
    <dataValidation type="textLength" errorStyle="information" allowBlank="1" showInputMessage="1" showErrorMessage="1" error="XLBVal:6=0_x000d__x000a_" sqref="E157:Q157">
      <formula1>0</formula1>
      <formula2>300</formula2>
    </dataValidation>
    <dataValidation type="textLength" errorStyle="information" allowBlank="1" showInputMessage="1" showErrorMessage="1" error="XLBVal:6=10_x000d__x000a_" sqref="Q196">
      <formula1>0</formula1>
      <formula2>300</formula2>
    </dataValidation>
    <dataValidation type="textLength" errorStyle="information" allowBlank="1" showInputMessage="1" showErrorMessage="1" error="XLBVal:6=3239.86_x000d__x000a_" sqref="E158:Q158">
      <formula1>0</formula1>
      <formula2>300</formula2>
    </dataValidation>
    <dataValidation type="textLength" errorStyle="information" allowBlank="1" showInputMessage="1" showErrorMessage="1" error="XLBVal:6=374846.07_x000d__x000a_" sqref="E159:Q159">
      <formula1>0</formula1>
      <formula2>300</formula2>
    </dataValidation>
    <dataValidation type="textLength" errorStyle="information" allowBlank="1" showInputMessage="1" showErrorMessage="1" error="XLBVal:6=5472444.64_x000d__x000a_" sqref="E198:O198">
      <formula1>0</formula1>
      <formula2>300</formula2>
    </dataValidation>
    <dataValidation type="textLength" errorStyle="information" allowBlank="1" showInputMessage="1" showErrorMessage="1" error="XLBVal:6=6688509.16_x000d__x000a_" sqref="E13:E14 F14:P14">
      <formula1>0</formula1>
      <formula2>300</formula2>
    </dataValidation>
    <dataValidation type="textLength" errorStyle="information" allowBlank="1" showInputMessage="1" showErrorMessage="1" error="XLBVal:6=6595485.04_x000d__x000a_" sqref="G13">
      <formula1>0</formula1>
      <formula2>300</formula2>
    </dataValidation>
    <dataValidation type="textLength" errorStyle="information" allowBlank="1" showInputMessage="1" showErrorMessage="1" error="XLBVal:5=-2586288.67_x000d__x000a_" sqref="H13">
      <formula1>0</formula1>
      <formula2>300</formula2>
    </dataValidation>
    <dataValidation type="textLength" errorStyle="information" allowBlank="1" showInputMessage="1" showErrorMessage="1" error="XLBVal:5=15426.66_x000d__x000a_" sqref="I13">
      <formula1>0</formula1>
      <formula2>300</formula2>
    </dataValidation>
    <dataValidation type="textLength" errorStyle="information" allowBlank="1" showInputMessage="1" showErrorMessage="1" error="XLBVal:6=13928_x000d__x000a_" sqref="Q167:Q173">
      <formula1>0</formula1>
      <formula2>300</formula2>
    </dataValidation>
    <dataValidation type="textLength" errorStyle="information" allowBlank="1" showInputMessage="1" showErrorMessage="1" error="XLBVal:6=550248_x000d__x000a_" sqref="Q176:Q183">
      <formula1>0</formula1>
      <formula2>300</formula2>
    </dataValidation>
    <dataValidation type="textLength" errorStyle="information" allowBlank="1" showInputMessage="1" showErrorMessage="1" error="XLBVal:6=3678_x000d__x000a_" sqref="E184:Q185">
      <formula1>0</formula1>
      <formula2>300</formula2>
    </dataValidation>
    <dataValidation type="textLength" errorStyle="information" allowBlank="1" showInputMessage="1" showErrorMessage="1" error="XLBVal:6=1770_x000d__x000a_" sqref="E182:P182">
      <formula1>0</formula1>
      <formula2>300</formula2>
    </dataValidation>
    <dataValidation type="textLength" errorStyle="information" allowBlank="1" showInputMessage="1" showErrorMessage="1" error="XLBVal:6=662.57_x000d__x000a_" sqref="E180:P180">
      <formula1>0</formula1>
      <formula2>300</formula2>
    </dataValidation>
    <dataValidation type="textLength" errorStyle="information" allowBlank="1" showInputMessage="1" showErrorMessage="1" error="XLBVal:6=3024.97_x000d__x000a_" sqref="E192:P192">
      <formula1>0</formula1>
      <formula2>300</formula2>
    </dataValidation>
    <dataValidation type="textLength" errorStyle="information" allowBlank="1" showInputMessage="1" showErrorMessage="1" error="XLBVal:6=8_x000d__x000a_" sqref="E196:P196">
      <formula1>0</formula1>
      <formula2>300</formula2>
    </dataValidation>
    <dataValidation type="textLength" errorStyle="information" allowBlank="1" showInputMessage="1" showErrorMessage="1" error="XLBVal:6=8854_x000d__x000a_" sqref="E181:P181">
      <formula1>0</formula1>
      <formula2>300</formula2>
    </dataValidation>
    <dataValidation type="textLength" errorStyle="information" allowBlank="1" showInputMessage="1" showErrorMessage="1" error="XLBVal:6=340.17_x000d__x000a_" sqref="E179:P179">
      <formula1>0</formula1>
      <formula2>300</formula2>
    </dataValidation>
    <dataValidation type="textLength" errorStyle="information" allowBlank="1" showInputMessage="1" showErrorMessage="1" error="XLBVal:6=425.21_x000d__x000a_" sqref="E178:P178">
      <formula1>0</formula1>
      <formula2>300</formula2>
    </dataValidation>
    <dataValidation type="textLength" errorStyle="information" allowBlank="1" showInputMessage="1" showErrorMessage="1" error="XLBVal:6=6625.6_x000d__x000a_" sqref="E177:P177">
      <formula1>0</formula1>
      <formula2>300</formula2>
    </dataValidation>
    <dataValidation type="textLength" errorStyle="information" allowBlank="1" showInputMessage="1" showErrorMessage="1" error="XLBVal:6=13606.56_x000d__x000a_" sqref="E176:P176">
      <formula1>0</formula1>
      <formula2>300</formula2>
    </dataValidation>
    <dataValidation type="textLength" errorStyle="information" allowBlank="1" showInputMessage="1" showErrorMessage="1" error="XLBVal:6=6000_x000d__x000a_" sqref="E164:P164">
      <formula1>0</formula1>
      <formula2>300</formula2>
    </dataValidation>
    <dataValidation type="textLength" errorStyle="information" allowBlank="1" showInputMessage="1" showErrorMessage="1" error="XLBVal:6=82500_x000d__x000a_" sqref="E163:P163">
      <formula1>0</formula1>
      <formula2>300</formula2>
    </dataValidation>
    <dataValidation type="textLength" errorStyle="information" allowBlank="1" showInputMessage="1" showErrorMessage="1" error="XLBVal:6=7375_x000d__x000a_" sqref="E168:P168">
      <formula1>0</formula1>
      <formula2>300</formula2>
    </dataValidation>
    <dataValidation type="textLength" errorStyle="information" allowBlank="1" showInputMessage="1" showErrorMessage="1" error="XLBVal:6=467_x000d__x000a_" sqref="P198:P199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40" fitToHeight="0" orientation="landscape" r:id="rId1"/>
  <headerFooter>
    <oddFooter>&amp;L&amp;"微软雅黑,Regular"&amp;F&amp;C&amp;"微软雅黑,Regular"Page &amp;P of &amp;N&amp;R&amp;"微软雅黑,Regular"&amp;D</oddFooter>
  </headerFooter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tabColor rgb="FFFFC000"/>
  </sheetPr>
  <dimension ref="A1:W273"/>
  <sheetViews>
    <sheetView zoomScale="50" zoomScaleNormal="50" zoomScaleSheetLayoutView="55" workbookViewId="0">
      <pane xSplit="4" ySplit="10" topLeftCell="E180" activePane="bottomRight" state="frozen"/>
      <selection activeCell="D9" sqref="D9"/>
      <selection pane="topRight" activeCell="D9" sqref="D9"/>
      <selection pane="bottomLeft" activeCell="D9" sqref="D9"/>
      <selection pane="bottomRight" activeCell="Q159" sqref="Q159"/>
    </sheetView>
  </sheetViews>
  <sheetFormatPr defaultColWidth="8.90625" defaultRowHeight="26.25" customHeight="1" outlineLevelRow="1" outlineLevelCol="1"/>
  <cols>
    <col min="1" max="2" width="15.453125" style="5" hidden="1" customWidth="1" outlineLevel="1"/>
    <col min="3" max="3" width="21.6328125" style="5" hidden="1" customWidth="1" outlineLevel="1"/>
    <col min="4" max="4" width="70" style="6" customWidth="1" collapsed="1"/>
    <col min="5" max="5" width="24.90625" style="7" customWidth="1"/>
    <col min="6" max="7" width="21.453125" style="7" customWidth="1"/>
    <col min="8" max="8" width="22.453125" style="7" customWidth="1"/>
    <col min="9" max="9" width="21" style="7" customWidth="1"/>
    <col min="10" max="15" width="24.453125" style="5" customWidth="1"/>
    <col min="16" max="16" width="22.453125" style="5" customWidth="1"/>
    <col min="17" max="17" width="25.453125" style="5" customWidth="1"/>
    <col min="18" max="18" width="25.453125" style="5" hidden="1" customWidth="1"/>
    <col min="19" max="19" width="12.453125" style="5" hidden="1" customWidth="1"/>
    <col min="20" max="20" width="22.08984375" style="5" hidden="1" customWidth="1"/>
    <col min="21" max="21" width="22.453125" style="8" hidden="1" customWidth="1"/>
    <col min="22" max="22" width="22.453125" style="5" hidden="1" customWidth="1"/>
    <col min="23" max="23" width="48.453125" style="5" hidden="1" customWidth="1"/>
    <col min="24" max="16384" width="8.90625" style="5"/>
  </cols>
  <sheetData>
    <row r="1" spans="1:22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 t="s">
        <v>13</v>
      </c>
      <c r="U1" s="32"/>
    </row>
    <row r="2" spans="1:22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 t="s">
        <v>14</v>
      </c>
      <c r="U2" s="32"/>
    </row>
    <row r="3" spans="1:22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363</v>
      </c>
      <c r="U3" s="32"/>
    </row>
    <row r="4" spans="1:22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U4" s="33"/>
    </row>
    <row r="5" spans="1:22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U5" s="33"/>
    </row>
    <row r="6" spans="1:22" s="2" customFormat="1" ht="25.4" customHeight="1">
      <c r="D6" s="14" t="s">
        <v>1030</v>
      </c>
      <c r="E6" s="13"/>
      <c r="F6" s="13"/>
      <c r="G6" s="13"/>
      <c r="H6" s="13"/>
      <c r="I6" s="13"/>
      <c r="U6" s="33"/>
    </row>
    <row r="7" spans="1:22" s="2" customFormat="1" ht="25.4" customHeight="1">
      <c r="D7" s="199">
        <f>Parameter!H4</f>
        <v>2025</v>
      </c>
      <c r="E7" s="13"/>
      <c r="F7" s="13"/>
      <c r="G7" s="13"/>
      <c r="H7" s="13"/>
      <c r="I7" s="13"/>
      <c r="U7" s="33"/>
    </row>
    <row r="8" spans="1:22" ht="25.4" customHeight="1">
      <c r="D8" s="16"/>
    </row>
    <row r="9" spans="1:22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R9" s="18">
        <v>2018</v>
      </c>
      <c r="T9" s="34" t="s">
        <v>23</v>
      </c>
      <c r="U9" s="35"/>
    </row>
    <row r="10" spans="1:22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U10" s="36" t="s">
        <v>23</v>
      </c>
      <c r="V10" s="37" t="s">
        <v>24</v>
      </c>
    </row>
    <row r="11" spans="1:22" s="3" customFormat="1" ht="25.4" customHeight="1">
      <c r="D11" s="21"/>
      <c r="E11" s="22"/>
      <c r="F11" s="22"/>
      <c r="G11" s="22"/>
      <c r="H11" s="23"/>
      <c r="I11" s="23"/>
      <c r="U11" s="35"/>
    </row>
    <row r="12" spans="1:22" s="3" customFormat="1" ht="25.4" customHeight="1">
      <c r="A12" s="3" t="s">
        <v>466</v>
      </c>
      <c r="B12" s="3" t="s">
        <v>1031</v>
      </c>
      <c r="D12" s="21" t="s">
        <v>139</v>
      </c>
      <c r="E12" s="43">
        <f>+E193</f>
        <v>72908.38</v>
      </c>
      <c r="F12" s="43">
        <f t="shared" ref="F12:P12" si="0">+F193</f>
        <v>62545.86</v>
      </c>
      <c r="G12" s="43">
        <f t="shared" si="0"/>
        <v>62266.5</v>
      </c>
      <c r="H12" s="43">
        <f t="shared" si="0"/>
        <v>64783.439999999995</v>
      </c>
      <c r="I12" s="43">
        <f t="shared" si="0"/>
        <v>67237.349999999991</v>
      </c>
      <c r="J12" s="43">
        <f t="shared" si="0"/>
        <v>61869.619999999995</v>
      </c>
      <c r="K12" s="43">
        <f t="shared" si="0"/>
        <v>61756.18</v>
      </c>
      <c r="L12" s="43">
        <f t="shared" si="0"/>
        <v>61770.5</v>
      </c>
      <c r="M12" s="43">
        <f t="shared" si="0"/>
        <v>61783.06</v>
      </c>
      <c r="N12" s="43">
        <f t="shared" si="0"/>
        <v>70125.97</v>
      </c>
      <c r="O12" s="43">
        <f t="shared" si="0"/>
        <v>61716.02</v>
      </c>
      <c r="P12" s="43">
        <f t="shared" si="0"/>
        <v>61681.38</v>
      </c>
      <c r="Q12" s="43">
        <f>SUM(E12:P12)</f>
        <v>770444.25999999989</v>
      </c>
      <c r="R12" s="43">
        <v>2684249.12</v>
      </c>
      <c r="S12" s="39">
        <f>Q12/Summary!$Q$16</f>
        <v>9.6728433078556754E-3</v>
      </c>
      <c r="T12" s="61">
        <f>Q12+Q157</f>
        <v>849596.25999999989</v>
      </c>
      <c r="U12" s="35"/>
      <c r="V12" s="40"/>
    </row>
    <row r="13" spans="1:22" s="3" customFormat="1" ht="24.75" customHeight="1">
      <c r="D13" s="26"/>
      <c r="E13" s="24"/>
      <c r="F13" s="24"/>
      <c r="G13" s="24"/>
      <c r="H13" s="44"/>
      <c r="I13" s="44"/>
      <c r="U13" s="35"/>
      <c r="V13" s="40"/>
    </row>
    <row r="14" spans="1:22" s="3" customFormat="1" ht="25.4" customHeight="1">
      <c r="D14" s="21" t="s">
        <v>140</v>
      </c>
      <c r="E14" s="24"/>
      <c r="F14" s="24"/>
      <c r="G14" s="24"/>
      <c r="H14" s="25"/>
      <c r="I14" s="25"/>
      <c r="J14" s="323"/>
      <c r="K14" s="323"/>
      <c r="L14" s="323"/>
      <c r="M14" s="323"/>
      <c r="N14" s="323"/>
      <c r="O14" s="323"/>
      <c r="P14" s="323"/>
      <c r="U14" s="35"/>
      <c r="V14" s="40"/>
    </row>
    <row r="15" spans="1:22" s="3" customFormat="1" ht="25.4" hidden="1" customHeight="1">
      <c r="A15" s="3" t="s">
        <v>468</v>
      </c>
      <c r="B15" s="3" t="s">
        <v>1031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41">
        <f>SUM(E15:P15)</f>
        <v>0</v>
      </c>
      <c r="R15" s="61">
        <v>0</v>
      </c>
      <c r="U15" s="35"/>
      <c r="V15" s="40"/>
    </row>
    <row r="16" spans="1:22" s="3" customFormat="1" ht="25.4" hidden="1" customHeight="1">
      <c r="A16" s="3" t="s">
        <v>470</v>
      </c>
      <c r="B16" s="3" t="s">
        <v>1031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41">
        <f t="shared" ref="Q16:Q79" si="1">SUM(E16:P16)</f>
        <v>0</v>
      </c>
      <c r="R16" s="61">
        <v>0</v>
      </c>
      <c r="U16" s="35"/>
      <c r="V16" s="40"/>
    </row>
    <row r="17" spans="1:22" s="3" customFormat="1" ht="25.4" hidden="1" customHeight="1">
      <c r="A17" s="3" t="s">
        <v>472</v>
      </c>
      <c r="B17" s="3" t="s">
        <v>1031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41">
        <f t="shared" si="1"/>
        <v>0</v>
      </c>
      <c r="R17" s="61">
        <v>0</v>
      </c>
      <c r="U17" s="35"/>
      <c r="V17" s="40"/>
    </row>
    <row r="18" spans="1:22" s="3" customFormat="1" ht="25.4" hidden="1" customHeight="1">
      <c r="A18" s="3" t="s">
        <v>474</v>
      </c>
      <c r="B18" s="3" t="s">
        <v>1031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41">
        <f t="shared" si="1"/>
        <v>0</v>
      </c>
      <c r="R18" s="61">
        <v>0</v>
      </c>
      <c r="U18" s="35"/>
      <c r="V18" s="40"/>
    </row>
    <row r="19" spans="1:22" s="3" customFormat="1" ht="25.4" hidden="1" customHeight="1">
      <c r="A19" s="3" t="s">
        <v>476</v>
      </c>
      <c r="B19" s="3" t="s">
        <v>1031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41">
        <f t="shared" si="1"/>
        <v>0</v>
      </c>
      <c r="R19" s="61">
        <v>0</v>
      </c>
      <c r="U19" s="35"/>
      <c r="V19" s="40"/>
    </row>
    <row r="20" spans="1:22" s="3" customFormat="1" ht="25.4" hidden="1" customHeight="1">
      <c r="A20" s="3" t="s">
        <v>478</v>
      </c>
      <c r="B20" s="3" t="s">
        <v>1031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41">
        <f t="shared" si="1"/>
        <v>0</v>
      </c>
      <c r="R20" s="61">
        <v>0</v>
      </c>
      <c r="U20" s="35"/>
      <c r="V20" s="40"/>
    </row>
    <row r="21" spans="1:22" s="3" customFormat="1" ht="25.4" hidden="1" customHeight="1">
      <c r="A21" s="3" t="s">
        <v>480</v>
      </c>
      <c r="B21" s="3" t="s">
        <v>1031</v>
      </c>
      <c r="D21" s="26" t="s">
        <v>481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41">
        <f t="shared" si="1"/>
        <v>0</v>
      </c>
      <c r="R21" s="61">
        <v>900</v>
      </c>
      <c r="U21" s="35"/>
      <c r="V21" s="40"/>
    </row>
    <row r="22" spans="1:22" s="3" customFormat="1" ht="25.4" customHeight="1">
      <c r="A22" s="3" t="s">
        <v>482</v>
      </c>
      <c r="B22" s="3" t="s">
        <v>1031</v>
      </c>
      <c r="D22" s="29" t="s">
        <v>483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41">
        <f t="shared" si="1"/>
        <v>0</v>
      </c>
      <c r="R22" s="61">
        <v>0</v>
      </c>
      <c r="U22" s="35"/>
      <c r="V22" s="40"/>
    </row>
    <row r="23" spans="1:22" s="3" customFormat="1" ht="25.4" customHeight="1">
      <c r="A23" s="3" t="s">
        <v>484</v>
      </c>
      <c r="B23" s="3" t="s">
        <v>1031</v>
      </c>
      <c r="D23" s="26" t="s">
        <v>485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41">
        <f t="shared" si="1"/>
        <v>0</v>
      </c>
      <c r="R23" s="61">
        <v>0</v>
      </c>
      <c r="U23" s="35"/>
      <c r="V23" s="40"/>
    </row>
    <row r="24" spans="1:22" s="3" customFormat="1" ht="25.4" hidden="1" customHeight="1">
      <c r="A24" s="3" t="s">
        <v>486</v>
      </c>
      <c r="B24" s="3" t="s">
        <v>1031</v>
      </c>
      <c r="D24" s="26" t="s">
        <v>487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41">
        <f t="shared" si="1"/>
        <v>0</v>
      </c>
      <c r="R24" s="61">
        <v>0</v>
      </c>
      <c r="U24" s="35"/>
      <c r="V24" s="40"/>
    </row>
    <row r="25" spans="1:22" s="3" customFormat="1" ht="25.4" hidden="1" customHeight="1">
      <c r="A25" s="3" t="s">
        <v>488</v>
      </c>
      <c r="B25" s="3" t="s">
        <v>1031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41">
        <f t="shared" si="1"/>
        <v>0</v>
      </c>
      <c r="R25" s="61">
        <v>1200</v>
      </c>
      <c r="U25" s="35"/>
      <c r="V25" s="40"/>
    </row>
    <row r="26" spans="1:22" s="3" customFormat="1" ht="25.4" hidden="1" customHeight="1">
      <c r="A26" s="3" t="s">
        <v>490</v>
      </c>
      <c r="B26" s="3" t="s">
        <v>1031</v>
      </c>
      <c r="D26" s="26" t="s">
        <v>491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41">
        <f t="shared" si="1"/>
        <v>0</v>
      </c>
      <c r="R26" s="61">
        <v>235347.93</v>
      </c>
      <c r="U26" s="35"/>
      <c r="V26" s="40"/>
    </row>
    <row r="27" spans="1:22" s="3" customFormat="1" ht="25.4" hidden="1" customHeight="1">
      <c r="A27" s="3" t="s">
        <v>492</v>
      </c>
      <c r="B27" s="3" t="s">
        <v>1031</v>
      </c>
      <c r="D27" s="26" t="s">
        <v>493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41">
        <f t="shared" si="1"/>
        <v>0</v>
      </c>
      <c r="R27" s="61">
        <v>0</v>
      </c>
      <c r="U27" s="35"/>
      <c r="V27" s="40"/>
    </row>
    <row r="28" spans="1:22" s="3" customFormat="1" ht="25.4" hidden="1" customHeight="1">
      <c r="A28" s="3" t="s">
        <v>494</v>
      </c>
      <c r="B28" s="3" t="s">
        <v>1031</v>
      </c>
      <c r="D28" s="26" t="s">
        <v>495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41">
        <f t="shared" si="1"/>
        <v>0</v>
      </c>
      <c r="R28" s="61">
        <v>0</v>
      </c>
      <c r="U28" s="35"/>
      <c r="V28" s="40"/>
    </row>
    <row r="29" spans="1:22" s="3" customFormat="1" ht="25.4" hidden="1" customHeight="1">
      <c r="A29" s="3" t="s">
        <v>496</v>
      </c>
      <c r="B29" s="3" t="s">
        <v>1031</v>
      </c>
      <c r="D29" s="26" t="s">
        <v>171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41">
        <f t="shared" si="1"/>
        <v>0</v>
      </c>
      <c r="R29" s="61">
        <v>0</v>
      </c>
      <c r="U29" s="35"/>
      <c r="V29" s="40"/>
    </row>
    <row r="30" spans="1:22" s="3" customFormat="1" ht="25.4" hidden="1" customHeight="1">
      <c r="A30" s="3" t="s">
        <v>497</v>
      </c>
      <c r="B30" s="3" t="s">
        <v>1031</v>
      </c>
      <c r="D30" s="26" t="s">
        <v>173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41">
        <f t="shared" si="1"/>
        <v>0</v>
      </c>
      <c r="R30" s="61">
        <v>0</v>
      </c>
      <c r="U30" s="35"/>
      <c r="V30" s="40"/>
    </row>
    <row r="31" spans="1:22" s="3" customFormat="1" ht="25.4" hidden="1" customHeight="1">
      <c r="A31" s="3" t="s">
        <v>498</v>
      </c>
      <c r="B31" s="3" t="s">
        <v>1031</v>
      </c>
      <c r="D31" s="26" t="s">
        <v>499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41">
        <f t="shared" si="1"/>
        <v>0</v>
      </c>
      <c r="R31" s="61">
        <v>0</v>
      </c>
      <c r="U31" s="35"/>
      <c r="V31" s="40"/>
    </row>
    <row r="32" spans="1:22" s="3" customFormat="1" ht="25.4" hidden="1" customHeight="1">
      <c r="A32" s="3" t="s">
        <v>500</v>
      </c>
      <c r="B32" s="3" t="s">
        <v>1031</v>
      </c>
      <c r="D32" s="26" t="s">
        <v>501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41">
        <f t="shared" si="1"/>
        <v>0</v>
      </c>
      <c r="R32" s="61">
        <v>0</v>
      </c>
      <c r="U32" s="35"/>
      <c r="V32" s="40"/>
    </row>
    <row r="33" spans="1:22" s="3" customFormat="1" ht="25.4" hidden="1" customHeight="1">
      <c r="A33" s="3" t="s">
        <v>502</v>
      </c>
      <c r="B33" s="3" t="s">
        <v>1031</v>
      </c>
      <c r="D33" s="26" t="s">
        <v>503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41">
        <f t="shared" si="1"/>
        <v>0</v>
      </c>
      <c r="R33" s="61">
        <v>0</v>
      </c>
      <c r="U33" s="35"/>
      <c r="V33" s="40"/>
    </row>
    <row r="34" spans="1:22" s="3" customFormat="1" ht="25.4" hidden="1" customHeight="1">
      <c r="A34" s="3" t="s">
        <v>504</v>
      </c>
      <c r="B34" s="3" t="s">
        <v>1031</v>
      </c>
      <c r="D34" s="26" t="s">
        <v>505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41">
        <f t="shared" si="1"/>
        <v>0</v>
      </c>
      <c r="R34" s="61">
        <v>0</v>
      </c>
      <c r="U34" s="35"/>
      <c r="V34" s="40"/>
    </row>
    <row r="35" spans="1:22" s="3" customFormat="1" ht="25.4" customHeight="1">
      <c r="A35" s="3" t="s">
        <v>506</v>
      </c>
      <c r="B35" s="3" t="s">
        <v>1031</v>
      </c>
      <c r="D35" s="26" t="s">
        <v>507</v>
      </c>
      <c r="E35" s="27">
        <v>6000</v>
      </c>
      <c r="F35" s="27">
        <v>6000</v>
      </c>
      <c r="G35" s="27">
        <v>6000</v>
      </c>
      <c r="H35" s="27">
        <v>6000</v>
      </c>
      <c r="I35" s="27">
        <v>6000</v>
      </c>
      <c r="J35" s="27">
        <v>6000</v>
      </c>
      <c r="K35" s="27">
        <v>6000</v>
      </c>
      <c r="L35" s="27">
        <v>6000</v>
      </c>
      <c r="M35" s="27">
        <v>6000</v>
      </c>
      <c r="N35" s="27">
        <v>6000</v>
      </c>
      <c r="O35" s="27">
        <v>6000</v>
      </c>
      <c r="P35" s="27">
        <v>6000</v>
      </c>
      <c r="Q35" s="41">
        <f t="shared" si="1"/>
        <v>72000</v>
      </c>
      <c r="R35" s="61">
        <v>0</v>
      </c>
      <c r="S35" s="39"/>
      <c r="T35" s="39"/>
      <c r="U35" s="35"/>
      <c r="V35" s="40"/>
    </row>
    <row r="36" spans="1:22" s="3" customFormat="1" ht="25.4" hidden="1" customHeight="1">
      <c r="A36" s="3" t="s">
        <v>508</v>
      </c>
      <c r="B36" s="3" t="s">
        <v>1031</v>
      </c>
      <c r="D36" s="26" t="s">
        <v>509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41">
        <f t="shared" si="1"/>
        <v>0</v>
      </c>
      <c r="R36" s="61">
        <v>0</v>
      </c>
      <c r="S36" s="39"/>
      <c r="T36" s="39"/>
      <c r="U36" s="35"/>
      <c r="V36" s="40"/>
    </row>
    <row r="37" spans="1:22" s="3" customFormat="1" ht="25.4" hidden="1" customHeight="1">
      <c r="A37" s="3" t="s">
        <v>510</v>
      </c>
      <c r="B37" s="3" t="s">
        <v>1031</v>
      </c>
      <c r="D37" s="26" t="s">
        <v>511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41">
        <f t="shared" si="1"/>
        <v>0</v>
      </c>
      <c r="R37" s="61">
        <v>0</v>
      </c>
      <c r="S37" s="39"/>
      <c r="T37" s="39"/>
      <c r="U37" s="35"/>
      <c r="V37" s="40"/>
    </row>
    <row r="38" spans="1:22" s="3" customFormat="1" ht="25.4" hidden="1" customHeight="1">
      <c r="A38" s="3" t="s">
        <v>512</v>
      </c>
      <c r="B38" s="3" t="s">
        <v>1031</v>
      </c>
      <c r="D38" s="26" t="s">
        <v>513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41">
        <f t="shared" si="1"/>
        <v>0</v>
      </c>
      <c r="R38" s="61">
        <v>0</v>
      </c>
      <c r="S38" s="39"/>
      <c r="T38" s="39"/>
      <c r="U38" s="35"/>
      <c r="V38" s="40"/>
    </row>
    <row r="39" spans="1:22" s="3" customFormat="1" ht="25.4" hidden="1" customHeight="1">
      <c r="A39" s="3" t="s">
        <v>514</v>
      </c>
      <c r="B39" s="3" t="s">
        <v>1031</v>
      </c>
      <c r="D39" s="26" t="s">
        <v>515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41">
        <f t="shared" si="1"/>
        <v>0</v>
      </c>
      <c r="R39" s="61">
        <v>0</v>
      </c>
      <c r="S39" s="39"/>
      <c r="T39" s="39"/>
      <c r="U39" s="35"/>
      <c r="V39" s="40"/>
    </row>
    <row r="40" spans="1:22" s="3" customFormat="1" ht="25.4" hidden="1" customHeight="1">
      <c r="A40" s="3" t="s">
        <v>516</v>
      </c>
      <c r="B40" s="3" t="s">
        <v>1031</v>
      </c>
      <c r="D40" s="26" t="s">
        <v>517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41">
        <f t="shared" si="1"/>
        <v>0</v>
      </c>
      <c r="R40" s="61">
        <v>0</v>
      </c>
      <c r="S40" s="39"/>
      <c r="T40" s="39"/>
      <c r="U40" s="35"/>
      <c r="V40" s="40"/>
    </row>
    <row r="41" spans="1:22" s="3" customFormat="1" ht="25.4" hidden="1" customHeight="1">
      <c r="A41" s="3" t="s">
        <v>518</v>
      </c>
      <c r="B41" s="3" t="s">
        <v>1031</v>
      </c>
      <c r="D41" s="26" t="s">
        <v>519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41">
        <f t="shared" si="1"/>
        <v>0</v>
      </c>
      <c r="R41" s="61">
        <v>0</v>
      </c>
      <c r="S41" s="39"/>
      <c r="T41" s="39"/>
      <c r="U41" s="35"/>
      <c r="V41" s="40"/>
    </row>
    <row r="42" spans="1:22" s="3" customFormat="1" ht="25.4" hidden="1" customHeight="1">
      <c r="A42" s="3" t="s">
        <v>520</v>
      </c>
      <c r="B42" s="3" t="s">
        <v>1031</v>
      </c>
      <c r="D42" s="26" t="s">
        <v>521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41">
        <f t="shared" si="1"/>
        <v>0</v>
      </c>
      <c r="R42" s="61">
        <v>0</v>
      </c>
      <c r="S42" s="39"/>
      <c r="T42" s="39"/>
      <c r="U42" s="35"/>
      <c r="V42" s="40"/>
    </row>
    <row r="43" spans="1:22" s="3" customFormat="1" ht="25.4" customHeight="1">
      <c r="A43" s="3" t="s">
        <v>522</v>
      </c>
      <c r="B43" s="3" t="s">
        <v>1031</v>
      </c>
      <c r="D43" s="26" t="s">
        <v>523</v>
      </c>
      <c r="E43" s="27">
        <f>12*E195</f>
        <v>96</v>
      </c>
      <c r="F43" s="27">
        <f t="shared" ref="F43:P43" si="2">12*F195</f>
        <v>96</v>
      </c>
      <c r="G43" s="27">
        <f t="shared" si="2"/>
        <v>96</v>
      </c>
      <c r="H43" s="27">
        <f t="shared" si="2"/>
        <v>96</v>
      </c>
      <c r="I43" s="27">
        <f t="shared" si="2"/>
        <v>96</v>
      </c>
      <c r="J43" s="27">
        <f t="shared" si="2"/>
        <v>96</v>
      </c>
      <c r="K43" s="27">
        <f t="shared" si="2"/>
        <v>96</v>
      </c>
      <c r="L43" s="27">
        <f t="shared" si="2"/>
        <v>96</v>
      </c>
      <c r="M43" s="27">
        <f t="shared" si="2"/>
        <v>96</v>
      </c>
      <c r="N43" s="27">
        <f t="shared" si="2"/>
        <v>96</v>
      </c>
      <c r="O43" s="27">
        <f t="shared" si="2"/>
        <v>96</v>
      </c>
      <c r="P43" s="27">
        <f t="shared" si="2"/>
        <v>96</v>
      </c>
      <c r="Q43" s="41">
        <f t="shared" si="1"/>
        <v>1152</v>
      </c>
      <c r="R43" s="61">
        <v>3654.05</v>
      </c>
      <c r="S43" s="39"/>
      <c r="T43" s="39"/>
      <c r="U43" s="35"/>
      <c r="V43" s="40"/>
    </row>
    <row r="44" spans="1:22" s="3" customFormat="1" ht="25.4" customHeight="1">
      <c r="A44" s="3" t="s">
        <v>524</v>
      </c>
      <c r="B44" s="3" t="s">
        <v>1031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41">
        <f t="shared" si="1"/>
        <v>0</v>
      </c>
      <c r="R44" s="61">
        <v>0</v>
      </c>
      <c r="S44" s="39"/>
      <c r="T44" s="39"/>
      <c r="U44" s="35"/>
      <c r="V44" s="40"/>
    </row>
    <row r="45" spans="1:22" s="3" customFormat="1" ht="25.4" hidden="1" customHeight="1">
      <c r="A45" s="3" t="s">
        <v>526</v>
      </c>
      <c r="B45" s="3" t="s">
        <v>1031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41">
        <f t="shared" si="1"/>
        <v>0</v>
      </c>
      <c r="R45" s="61">
        <v>0</v>
      </c>
      <c r="S45" s="39"/>
      <c r="T45" s="39"/>
      <c r="U45" s="35"/>
      <c r="V45" s="40"/>
    </row>
    <row r="46" spans="1:22" s="3" customFormat="1" ht="25.4" hidden="1" customHeight="1">
      <c r="A46" s="3" t="s">
        <v>528</v>
      </c>
      <c r="B46" s="3" t="s">
        <v>1031</v>
      </c>
      <c r="D46" s="29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41">
        <f t="shared" si="1"/>
        <v>0</v>
      </c>
      <c r="R46" s="61">
        <v>0</v>
      </c>
      <c r="S46" s="39"/>
      <c r="T46" s="39"/>
      <c r="U46" s="35"/>
      <c r="V46" s="40"/>
    </row>
    <row r="47" spans="1:22" s="3" customFormat="1" ht="25.4" hidden="1" customHeight="1">
      <c r="A47" s="3" t="s">
        <v>530</v>
      </c>
      <c r="B47" s="3" t="s">
        <v>1031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41">
        <f t="shared" si="1"/>
        <v>0</v>
      </c>
      <c r="R47" s="61">
        <v>0</v>
      </c>
      <c r="S47" s="39"/>
      <c r="T47" s="39"/>
      <c r="U47" s="35"/>
      <c r="V47" s="40"/>
    </row>
    <row r="48" spans="1:22" s="3" customFormat="1" ht="25.4" hidden="1" customHeight="1">
      <c r="A48" s="3" t="s">
        <v>532</v>
      </c>
      <c r="B48" s="3" t="s">
        <v>1031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41">
        <f t="shared" si="1"/>
        <v>0</v>
      </c>
      <c r="R48" s="61">
        <v>123614.78</v>
      </c>
      <c r="S48" s="39"/>
      <c r="T48" s="39"/>
      <c r="U48" s="35"/>
      <c r="V48" s="40"/>
    </row>
    <row r="49" spans="1:22" s="3" customFormat="1" ht="25.4" hidden="1" customHeight="1">
      <c r="A49" s="3" t="s">
        <v>534</v>
      </c>
      <c r="B49" s="3" t="s">
        <v>1031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41">
        <f t="shared" si="1"/>
        <v>0</v>
      </c>
      <c r="R49" s="61">
        <v>133649.73000000001</v>
      </c>
      <c r="S49" s="39"/>
      <c r="T49" s="39"/>
      <c r="U49" s="35"/>
      <c r="V49" s="40"/>
    </row>
    <row r="50" spans="1:22" s="3" customFormat="1" ht="25.4" hidden="1" customHeight="1">
      <c r="A50" s="3" t="s">
        <v>536</v>
      </c>
      <c r="B50" s="3" t="s">
        <v>1031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41">
        <f t="shared" si="1"/>
        <v>0</v>
      </c>
      <c r="R50" s="61">
        <v>1445.38</v>
      </c>
      <c r="S50" s="39"/>
      <c r="T50" s="39"/>
      <c r="U50" s="35"/>
      <c r="V50" s="40"/>
    </row>
    <row r="51" spans="1:22" s="3" customFormat="1" ht="25.4" hidden="1" customHeight="1">
      <c r="A51" s="3" t="s">
        <v>538</v>
      </c>
      <c r="B51" s="3" t="s">
        <v>1031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41">
        <f t="shared" si="1"/>
        <v>0</v>
      </c>
      <c r="R51" s="61">
        <v>0</v>
      </c>
      <c r="S51" s="39"/>
      <c r="T51" s="39"/>
      <c r="U51" s="35"/>
      <c r="V51" s="40"/>
    </row>
    <row r="52" spans="1:22" s="3" customFormat="1" ht="25.4" hidden="1" customHeight="1">
      <c r="A52" s="3" t="s">
        <v>540</v>
      </c>
      <c r="B52" s="3" t="s">
        <v>1031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41">
        <f t="shared" si="1"/>
        <v>0</v>
      </c>
      <c r="R52" s="61">
        <v>0</v>
      </c>
      <c r="S52" s="39"/>
      <c r="T52" s="39"/>
      <c r="U52" s="35"/>
      <c r="V52" s="40"/>
    </row>
    <row r="53" spans="1:22" s="3" customFormat="1" ht="25.4" hidden="1" customHeight="1">
      <c r="A53" s="3" t="s">
        <v>542</v>
      </c>
      <c r="B53" s="3" t="s">
        <v>1031</v>
      </c>
      <c r="D53" s="29" t="s">
        <v>543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41">
        <f t="shared" si="1"/>
        <v>0</v>
      </c>
      <c r="R53" s="61">
        <v>0</v>
      </c>
      <c r="S53" s="39"/>
      <c r="T53" s="39"/>
      <c r="U53" s="35"/>
      <c r="V53" s="40"/>
    </row>
    <row r="54" spans="1:22" s="3" customFormat="1" ht="25.4" hidden="1" customHeight="1">
      <c r="A54" s="3" t="s">
        <v>544</v>
      </c>
      <c r="B54" s="3" t="s">
        <v>1031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41">
        <f t="shared" si="1"/>
        <v>0</v>
      </c>
      <c r="R54" s="61">
        <v>0</v>
      </c>
      <c r="S54" s="39"/>
      <c r="T54" s="39"/>
      <c r="U54" s="35"/>
      <c r="V54" s="40"/>
    </row>
    <row r="55" spans="1:22" s="3" customFormat="1" ht="25.4" hidden="1" customHeight="1">
      <c r="A55" s="3" t="s">
        <v>546</v>
      </c>
      <c r="B55" s="3" t="s">
        <v>1031</v>
      </c>
      <c r="D55" s="29" t="s">
        <v>547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41">
        <f t="shared" si="1"/>
        <v>0</v>
      </c>
      <c r="R55" s="61">
        <v>0</v>
      </c>
      <c r="S55" s="39"/>
      <c r="T55" s="39"/>
      <c r="U55" s="35"/>
      <c r="V55" s="40"/>
    </row>
    <row r="56" spans="1:22" s="3" customFormat="1" ht="25.4" hidden="1" customHeight="1">
      <c r="A56" s="3" t="s">
        <v>548</v>
      </c>
      <c r="B56" s="3" t="s">
        <v>1031</v>
      </c>
      <c r="D56" s="26" t="s">
        <v>549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41">
        <f t="shared" si="1"/>
        <v>0</v>
      </c>
      <c r="R56" s="61">
        <v>0</v>
      </c>
      <c r="S56" s="39"/>
      <c r="T56" s="39"/>
      <c r="U56" s="35"/>
      <c r="V56" s="40"/>
    </row>
    <row r="57" spans="1:22" s="3" customFormat="1" ht="25.4" hidden="1" customHeight="1">
      <c r="A57" s="3" t="s">
        <v>550</v>
      </c>
      <c r="B57" s="3" t="s">
        <v>1031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41">
        <f t="shared" si="1"/>
        <v>0</v>
      </c>
      <c r="R57" s="61">
        <v>0</v>
      </c>
      <c r="S57" s="39"/>
      <c r="T57" s="39"/>
      <c r="U57" s="35"/>
      <c r="V57" s="40"/>
    </row>
    <row r="58" spans="1:22" s="3" customFormat="1" ht="25.4" hidden="1" customHeight="1">
      <c r="A58" s="3" t="s">
        <v>552</v>
      </c>
      <c r="B58" s="3" t="s">
        <v>1031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41">
        <f t="shared" si="1"/>
        <v>0</v>
      </c>
      <c r="R58" s="61">
        <v>0</v>
      </c>
      <c r="S58" s="39"/>
      <c r="T58" s="39"/>
      <c r="U58" s="35"/>
      <c r="V58" s="40"/>
    </row>
    <row r="59" spans="1:22" s="3" customFormat="1" ht="25.4" hidden="1" customHeight="1">
      <c r="A59" s="3" t="s">
        <v>554</v>
      </c>
      <c r="B59" s="3" t="s">
        <v>1031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41">
        <f t="shared" si="1"/>
        <v>0</v>
      </c>
      <c r="R59" s="61">
        <v>0</v>
      </c>
      <c r="S59" s="39"/>
      <c r="T59" s="39"/>
      <c r="U59" s="35"/>
      <c r="V59" s="40"/>
    </row>
    <row r="60" spans="1:22" s="3" customFormat="1" ht="25.4" hidden="1" customHeight="1">
      <c r="A60" s="3" t="s">
        <v>556</v>
      </c>
      <c r="B60" s="3" t="s">
        <v>1031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41">
        <f t="shared" si="1"/>
        <v>0</v>
      </c>
      <c r="R60" s="61">
        <v>0</v>
      </c>
      <c r="S60" s="39"/>
      <c r="T60" s="39"/>
      <c r="U60" s="35"/>
      <c r="V60" s="40"/>
    </row>
    <row r="61" spans="1:22" s="3" customFormat="1" ht="25.4" hidden="1" customHeight="1">
      <c r="A61" s="3" t="s">
        <v>558</v>
      </c>
      <c r="B61" s="3" t="s">
        <v>1031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41">
        <f t="shared" si="1"/>
        <v>0</v>
      </c>
      <c r="R61" s="61">
        <v>0</v>
      </c>
      <c r="S61" s="39"/>
      <c r="T61" s="39"/>
      <c r="U61" s="35"/>
      <c r="V61" s="40"/>
    </row>
    <row r="62" spans="1:22" s="3" customFormat="1" ht="25.4" hidden="1" customHeight="1">
      <c r="A62" s="3" t="s">
        <v>560</v>
      </c>
      <c r="B62" s="3" t="s">
        <v>1031</v>
      </c>
      <c r="D62" s="26" t="s">
        <v>561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41">
        <f t="shared" si="1"/>
        <v>0</v>
      </c>
      <c r="R62" s="61">
        <v>0</v>
      </c>
      <c r="S62" s="39"/>
      <c r="T62" s="39"/>
      <c r="U62" s="35"/>
      <c r="V62" s="40"/>
    </row>
    <row r="63" spans="1:22" s="3" customFormat="1" ht="25.4" hidden="1" customHeight="1">
      <c r="A63" s="3" t="s">
        <v>562</v>
      </c>
      <c r="B63" s="3" t="s">
        <v>1031</v>
      </c>
      <c r="D63" s="26" t="s">
        <v>563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41">
        <f t="shared" si="1"/>
        <v>0</v>
      </c>
      <c r="R63" s="61">
        <v>0</v>
      </c>
      <c r="S63" s="39"/>
      <c r="T63" s="39"/>
      <c r="U63" s="35"/>
      <c r="V63" s="40"/>
    </row>
    <row r="64" spans="1:22" s="3" customFormat="1" ht="25.4" hidden="1" customHeight="1">
      <c r="A64" s="3" t="s">
        <v>564</v>
      </c>
      <c r="B64" s="3" t="s">
        <v>1031</v>
      </c>
      <c r="D64" s="26" t="s">
        <v>565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41">
        <f t="shared" si="1"/>
        <v>0</v>
      </c>
      <c r="R64" s="61">
        <v>0</v>
      </c>
      <c r="S64" s="39"/>
      <c r="T64" s="39"/>
      <c r="U64" s="35"/>
      <c r="V64" s="40"/>
    </row>
    <row r="65" spans="1:22" s="3" customFormat="1" ht="25.4" hidden="1" customHeight="1">
      <c r="A65" s="3" t="s">
        <v>566</v>
      </c>
      <c r="B65" s="3" t="s">
        <v>1031</v>
      </c>
      <c r="D65" s="26" t="s">
        <v>567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41">
        <f t="shared" si="1"/>
        <v>0</v>
      </c>
      <c r="R65" s="61">
        <v>0</v>
      </c>
      <c r="S65" s="39"/>
      <c r="T65" s="39"/>
      <c r="U65" s="35"/>
      <c r="V65" s="40"/>
    </row>
    <row r="66" spans="1:22" s="3" customFormat="1" ht="25.4" hidden="1" customHeight="1">
      <c r="A66" s="3" t="s">
        <v>568</v>
      </c>
      <c r="B66" s="3" t="s">
        <v>1031</v>
      </c>
      <c r="D66" s="26" t="s">
        <v>569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41">
        <f t="shared" si="1"/>
        <v>0</v>
      </c>
      <c r="R66" s="61">
        <v>0</v>
      </c>
      <c r="S66" s="39"/>
      <c r="T66" s="39"/>
      <c r="U66" s="35"/>
      <c r="V66" s="40"/>
    </row>
    <row r="67" spans="1:22" s="3" customFormat="1" ht="25.4" hidden="1" customHeight="1">
      <c r="A67" s="3" t="s">
        <v>570</v>
      </c>
      <c r="B67" s="3" t="s">
        <v>1031</v>
      </c>
      <c r="D67" s="26" t="s">
        <v>571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41">
        <f t="shared" si="1"/>
        <v>0</v>
      </c>
      <c r="R67" s="61">
        <v>0</v>
      </c>
      <c r="S67" s="39"/>
      <c r="T67" s="39"/>
      <c r="U67" s="35"/>
      <c r="V67" s="40"/>
    </row>
    <row r="68" spans="1:22" s="3" customFormat="1" ht="25.4" hidden="1" customHeight="1">
      <c r="A68" s="3" t="s">
        <v>572</v>
      </c>
      <c r="B68" s="3" t="s">
        <v>1031</v>
      </c>
      <c r="D68" s="26" t="s">
        <v>573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1">
        <f t="shared" si="1"/>
        <v>0</v>
      </c>
      <c r="R68" s="61">
        <v>3444.02</v>
      </c>
      <c r="S68" s="39"/>
      <c r="T68" s="39"/>
      <c r="U68" s="35"/>
      <c r="V68" s="40"/>
    </row>
    <row r="69" spans="1:22" s="3" customFormat="1" ht="25.4" hidden="1" customHeight="1">
      <c r="A69" s="3" t="s">
        <v>574</v>
      </c>
      <c r="B69" s="3" t="s">
        <v>1031</v>
      </c>
      <c r="D69" s="26" t="s">
        <v>575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1">
        <f t="shared" si="1"/>
        <v>0</v>
      </c>
      <c r="R69" s="61">
        <v>55055.42</v>
      </c>
      <c r="S69" s="39"/>
      <c r="T69" s="39"/>
      <c r="U69" s="35"/>
      <c r="V69" s="40"/>
    </row>
    <row r="70" spans="1:22" s="3" customFormat="1" ht="25.4" hidden="1" customHeight="1">
      <c r="A70" s="3" t="s">
        <v>576</v>
      </c>
      <c r="B70" s="3" t="s">
        <v>1031</v>
      </c>
      <c r="D70" s="26" t="s">
        <v>577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41">
        <f t="shared" si="1"/>
        <v>0</v>
      </c>
      <c r="R70" s="61">
        <v>8200.33</v>
      </c>
      <c r="S70" s="39"/>
      <c r="T70" s="39"/>
      <c r="U70" s="35"/>
      <c r="V70" s="40"/>
    </row>
    <row r="71" spans="1:22" s="3" customFormat="1" ht="25.4" hidden="1" customHeight="1">
      <c r="A71" s="3" t="s">
        <v>578</v>
      </c>
      <c r="B71" s="3" t="s">
        <v>1031</v>
      </c>
      <c r="D71" s="26" t="s">
        <v>579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41">
        <f t="shared" si="1"/>
        <v>0</v>
      </c>
      <c r="R71" s="61">
        <v>524.45000000000005</v>
      </c>
      <c r="S71" s="39"/>
      <c r="T71" s="39"/>
      <c r="U71" s="35"/>
      <c r="V71" s="40"/>
    </row>
    <row r="72" spans="1:22" s="3" customFormat="1" ht="25.4" hidden="1" customHeight="1">
      <c r="A72" s="3" t="s">
        <v>580</v>
      </c>
      <c r="B72" s="3" t="s">
        <v>1031</v>
      </c>
      <c r="D72" s="26" t="s">
        <v>581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41">
        <f t="shared" si="1"/>
        <v>0</v>
      </c>
      <c r="R72" s="61">
        <v>42093.9</v>
      </c>
      <c r="S72" s="39"/>
      <c r="T72" s="39"/>
      <c r="U72" s="35"/>
      <c r="V72" s="40"/>
    </row>
    <row r="73" spans="1:22" s="3" customFormat="1" ht="25.4" hidden="1" customHeight="1">
      <c r="A73" s="3" t="s">
        <v>582</v>
      </c>
      <c r="B73" s="3" t="s">
        <v>1031</v>
      </c>
      <c r="D73" s="26" t="s">
        <v>583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41">
        <f t="shared" si="1"/>
        <v>0</v>
      </c>
      <c r="R73" s="61">
        <v>0</v>
      </c>
      <c r="S73" s="39"/>
      <c r="T73" s="39"/>
      <c r="U73" s="35"/>
      <c r="V73" s="40"/>
    </row>
    <row r="74" spans="1:22" s="3" customFormat="1" ht="25.4" hidden="1" customHeight="1">
      <c r="A74" s="3" t="s">
        <v>584</v>
      </c>
      <c r="B74" s="3" t="s">
        <v>1031</v>
      </c>
      <c r="D74" s="26" t="s">
        <v>585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41">
        <f t="shared" si="1"/>
        <v>0</v>
      </c>
      <c r="R74" s="61">
        <v>10480</v>
      </c>
      <c r="S74" s="39"/>
      <c r="T74" s="39"/>
      <c r="U74" s="35"/>
      <c r="V74" s="40"/>
    </row>
    <row r="75" spans="1:22" s="3" customFormat="1" ht="25.4" hidden="1" customHeight="1">
      <c r="A75" s="3" t="s">
        <v>586</v>
      </c>
      <c r="B75" s="3" t="s">
        <v>1031</v>
      </c>
      <c r="D75" s="26" t="s">
        <v>587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41">
        <f t="shared" si="1"/>
        <v>0</v>
      </c>
      <c r="R75" s="61">
        <v>254898.44</v>
      </c>
      <c r="S75" s="39"/>
      <c r="T75" s="39"/>
      <c r="U75" s="35"/>
      <c r="V75" s="40"/>
    </row>
    <row r="76" spans="1:22" s="3" customFormat="1" ht="25.4" hidden="1" customHeight="1">
      <c r="A76" s="3" t="s">
        <v>588</v>
      </c>
      <c r="B76" s="3" t="s">
        <v>1031</v>
      </c>
      <c r="D76" s="26" t="s">
        <v>589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41">
        <f t="shared" si="1"/>
        <v>0</v>
      </c>
      <c r="R76" s="61">
        <v>0</v>
      </c>
      <c r="S76" s="39"/>
      <c r="T76" s="39"/>
      <c r="U76" s="35"/>
      <c r="V76" s="40"/>
    </row>
    <row r="77" spans="1:22" s="3" customFormat="1" ht="25.4" hidden="1" customHeight="1">
      <c r="A77" s="3" t="s">
        <v>590</v>
      </c>
      <c r="B77" s="3" t="s">
        <v>1031</v>
      </c>
      <c r="D77" s="26" t="s">
        <v>591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41">
        <f t="shared" si="1"/>
        <v>0</v>
      </c>
      <c r="R77" s="61">
        <v>0</v>
      </c>
      <c r="S77" s="39"/>
      <c r="T77" s="39"/>
      <c r="U77" s="35"/>
      <c r="V77" s="40"/>
    </row>
    <row r="78" spans="1:22" s="3" customFormat="1" ht="25.4" hidden="1" customHeight="1">
      <c r="A78" s="3" t="s">
        <v>592</v>
      </c>
      <c r="B78" s="3" t="s">
        <v>1031</v>
      </c>
      <c r="D78" s="26" t="s">
        <v>593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41">
        <f t="shared" si="1"/>
        <v>0</v>
      </c>
      <c r="R78" s="61">
        <v>0</v>
      </c>
      <c r="S78" s="39"/>
      <c r="T78" s="39"/>
      <c r="U78" s="35"/>
      <c r="V78" s="40"/>
    </row>
    <row r="79" spans="1:22" s="3" customFormat="1" ht="25.4" hidden="1" customHeight="1">
      <c r="A79" s="3" t="s">
        <v>848</v>
      </c>
      <c r="B79" s="3" t="s">
        <v>1031</v>
      </c>
      <c r="D79" s="26" t="s">
        <v>849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41">
        <f t="shared" si="1"/>
        <v>0</v>
      </c>
      <c r="R79" s="61">
        <v>0</v>
      </c>
      <c r="S79" s="39"/>
      <c r="T79" s="39"/>
      <c r="U79" s="35"/>
      <c r="V79" s="40"/>
    </row>
    <row r="80" spans="1:22" s="3" customFormat="1" ht="25.4" hidden="1" customHeight="1">
      <c r="A80" s="3" t="s">
        <v>850</v>
      </c>
      <c r="B80" s="3" t="s">
        <v>1031</v>
      </c>
      <c r="D80" s="26" t="s">
        <v>851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41">
        <f t="shared" ref="Q80:Q143" si="3">SUM(E80:P80)</f>
        <v>0</v>
      </c>
      <c r="R80" s="61">
        <v>0</v>
      </c>
      <c r="S80" s="39"/>
      <c r="T80" s="39"/>
      <c r="U80" s="35"/>
      <c r="V80" s="40"/>
    </row>
    <row r="81" spans="1:22" s="3" customFormat="1" ht="25.4" hidden="1" customHeight="1">
      <c r="A81" s="3" t="s">
        <v>852</v>
      </c>
      <c r="B81" s="3" t="s">
        <v>1031</v>
      </c>
      <c r="D81" s="26" t="s">
        <v>853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41">
        <f t="shared" si="3"/>
        <v>0</v>
      </c>
      <c r="R81" s="61">
        <v>0</v>
      </c>
      <c r="S81" s="39"/>
      <c r="T81" s="39"/>
      <c r="U81" s="35"/>
      <c r="V81" s="40"/>
    </row>
    <row r="82" spans="1:22" s="3" customFormat="1" ht="25.4" hidden="1" customHeight="1">
      <c r="A82" s="3" t="s">
        <v>854</v>
      </c>
      <c r="B82" s="3" t="s">
        <v>1031</v>
      </c>
      <c r="D82" s="26" t="s">
        <v>855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41">
        <f t="shared" si="3"/>
        <v>0</v>
      </c>
      <c r="R82" s="61">
        <v>0</v>
      </c>
      <c r="S82" s="39"/>
      <c r="T82" s="39"/>
      <c r="U82" s="35"/>
      <c r="V82" s="40"/>
    </row>
    <row r="83" spans="1:22" s="3" customFormat="1" ht="25.4" hidden="1" customHeight="1">
      <c r="A83" s="3" t="s">
        <v>856</v>
      </c>
      <c r="B83" s="3" t="s">
        <v>1031</v>
      </c>
      <c r="D83" s="26" t="s">
        <v>857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41">
        <f t="shared" si="3"/>
        <v>0</v>
      </c>
      <c r="R83" s="61">
        <v>0</v>
      </c>
      <c r="S83" s="39"/>
      <c r="T83" s="39"/>
      <c r="U83" s="35"/>
      <c r="V83" s="40"/>
    </row>
    <row r="84" spans="1:22" s="3" customFormat="1" ht="25.4" hidden="1" customHeight="1">
      <c r="A84" s="3" t="s">
        <v>858</v>
      </c>
      <c r="B84" s="3" t="s">
        <v>1031</v>
      </c>
      <c r="D84" s="26" t="s">
        <v>859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41">
        <f t="shared" si="3"/>
        <v>0</v>
      </c>
      <c r="R84" s="61">
        <v>0</v>
      </c>
      <c r="S84" s="39"/>
      <c r="T84" s="39"/>
      <c r="U84" s="35"/>
      <c r="V84" s="40"/>
    </row>
    <row r="85" spans="1:22" s="3" customFormat="1" ht="25.4" hidden="1" customHeight="1">
      <c r="A85" s="3" t="s">
        <v>860</v>
      </c>
      <c r="B85" s="3" t="s">
        <v>1031</v>
      </c>
      <c r="D85" s="26" t="s">
        <v>861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41">
        <f t="shared" si="3"/>
        <v>0</v>
      </c>
      <c r="R85" s="61">
        <v>0</v>
      </c>
      <c r="S85" s="39"/>
      <c r="T85" s="39"/>
      <c r="U85" s="35"/>
      <c r="V85" s="40"/>
    </row>
    <row r="86" spans="1:22" s="3" customFormat="1" ht="25.4" hidden="1" customHeight="1">
      <c r="A86" s="3" t="s">
        <v>862</v>
      </c>
      <c r="B86" s="3" t="s">
        <v>1031</v>
      </c>
      <c r="D86" s="26" t="s">
        <v>863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41">
        <f t="shared" si="3"/>
        <v>0</v>
      </c>
      <c r="R86" s="61">
        <v>0</v>
      </c>
      <c r="S86" s="39"/>
      <c r="T86" s="39"/>
      <c r="U86" s="35"/>
      <c r="V86" s="40"/>
    </row>
    <row r="87" spans="1:22" s="3" customFormat="1" ht="25.4" hidden="1" customHeight="1">
      <c r="A87" s="3" t="s">
        <v>864</v>
      </c>
      <c r="B87" s="3" t="s">
        <v>1031</v>
      </c>
      <c r="D87" s="26" t="s">
        <v>865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41">
        <f t="shared" si="3"/>
        <v>0</v>
      </c>
      <c r="R87" s="61">
        <v>0</v>
      </c>
      <c r="S87" s="39"/>
      <c r="T87" s="39"/>
      <c r="U87" s="35"/>
      <c r="V87" s="40"/>
    </row>
    <row r="88" spans="1:22" s="3" customFormat="1" ht="25.4" hidden="1" customHeight="1">
      <c r="A88" s="3" t="s">
        <v>270</v>
      </c>
      <c r="B88" s="3" t="s">
        <v>1031</v>
      </c>
      <c r="D88" s="26" t="s">
        <v>271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41">
        <f t="shared" si="3"/>
        <v>0</v>
      </c>
      <c r="R88" s="61">
        <v>0</v>
      </c>
      <c r="S88" s="39"/>
      <c r="T88" s="39"/>
      <c r="U88" s="35"/>
      <c r="V88" s="40"/>
    </row>
    <row r="89" spans="1:22" s="3" customFormat="1" ht="25.4" hidden="1" customHeight="1">
      <c r="A89" s="3" t="s">
        <v>866</v>
      </c>
      <c r="B89" s="3" t="s">
        <v>1031</v>
      </c>
      <c r="D89" s="26" t="s">
        <v>867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41">
        <f t="shared" si="3"/>
        <v>0</v>
      </c>
      <c r="R89" s="61">
        <v>0</v>
      </c>
      <c r="S89" s="39"/>
      <c r="T89" s="39"/>
      <c r="U89" s="35"/>
      <c r="V89" s="40"/>
    </row>
    <row r="90" spans="1:22" s="3" customFormat="1" ht="25.4" hidden="1" customHeight="1">
      <c r="A90" s="3" t="s">
        <v>272</v>
      </c>
      <c r="B90" s="3" t="s">
        <v>1031</v>
      </c>
      <c r="D90" s="26" t="s">
        <v>273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41">
        <f t="shared" si="3"/>
        <v>0</v>
      </c>
      <c r="R90" s="61">
        <v>0</v>
      </c>
      <c r="S90" s="39"/>
      <c r="T90" s="39"/>
      <c r="U90" s="35"/>
      <c r="V90" s="40"/>
    </row>
    <row r="91" spans="1:22" s="3" customFormat="1" ht="25.4" hidden="1" customHeight="1">
      <c r="A91" s="3" t="s">
        <v>868</v>
      </c>
      <c r="B91" s="3" t="s">
        <v>1031</v>
      </c>
      <c r="D91" s="26" t="s">
        <v>869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41">
        <f t="shared" si="3"/>
        <v>0</v>
      </c>
      <c r="R91" s="61">
        <v>0</v>
      </c>
      <c r="S91" s="39"/>
      <c r="T91" s="39"/>
      <c r="U91" s="35"/>
      <c r="V91" s="40"/>
    </row>
    <row r="92" spans="1:22" s="3" customFormat="1" ht="25.4" hidden="1" customHeight="1">
      <c r="A92" s="3" t="s">
        <v>870</v>
      </c>
      <c r="B92" s="3" t="s">
        <v>1031</v>
      </c>
      <c r="D92" s="26" t="s">
        <v>871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41">
        <f t="shared" si="3"/>
        <v>0</v>
      </c>
      <c r="R92" s="61">
        <v>0</v>
      </c>
      <c r="S92" s="39"/>
      <c r="T92" s="39"/>
      <c r="U92" s="35"/>
      <c r="V92" s="40"/>
    </row>
    <row r="93" spans="1:22" s="3" customFormat="1" ht="25.4" hidden="1" customHeight="1">
      <c r="A93" s="3" t="s">
        <v>872</v>
      </c>
      <c r="B93" s="3" t="s">
        <v>1031</v>
      </c>
      <c r="D93" s="26" t="s">
        <v>873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41">
        <f t="shared" si="3"/>
        <v>0</v>
      </c>
      <c r="R93" s="61">
        <v>0</v>
      </c>
      <c r="S93" s="39"/>
      <c r="T93" s="39"/>
      <c r="U93" s="35"/>
      <c r="V93" s="40"/>
    </row>
    <row r="94" spans="1:22" s="3" customFormat="1" ht="25.4" hidden="1" customHeight="1">
      <c r="A94" s="3" t="s">
        <v>874</v>
      </c>
      <c r="B94" s="3" t="s">
        <v>1031</v>
      </c>
      <c r="D94" s="26" t="s">
        <v>875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41">
        <f t="shared" si="3"/>
        <v>0</v>
      </c>
      <c r="R94" s="61">
        <v>0</v>
      </c>
      <c r="S94" s="39"/>
      <c r="T94" s="39"/>
      <c r="U94" s="35"/>
      <c r="V94" s="40"/>
    </row>
    <row r="95" spans="1:22" s="3" customFormat="1" ht="25.4" hidden="1" customHeight="1">
      <c r="A95" s="3" t="s">
        <v>876</v>
      </c>
      <c r="B95" s="3" t="s">
        <v>1031</v>
      </c>
      <c r="D95" s="26" t="s">
        <v>877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41">
        <f t="shared" si="3"/>
        <v>0</v>
      </c>
      <c r="R95" s="61">
        <v>0</v>
      </c>
      <c r="S95" s="39"/>
      <c r="T95" s="39"/>
      <c r="U95" s="35"/>
      <c r="V95" s="40"/>
    </row>
    <row r="96" spans="1:22" s="3" customFormat="1" ht="25.4" hidden="1" customHeight="1">
      <c r="A96" s="3" t="s">
        <v>878</v>
      </c>
      <c r="B96" s="3" t="s">
        <v>1031</v>
      </c>
      <c r="D96" s="26" t="s">
        <v>879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41">
        <f t="shared" si="3"/>
        <v>0</v>
      </c>
      <c r="R96" s="61">
        <v>0</v>
      </c>
      <c r="S96" s="39"/>
      <c r="T96" s="39"/>
      <c r="U96" s="35"/>
      <c r="V96" s="40"/>
    </row>
    <row r="97" spans="1:22" s="3" customFormat="1" ht="25.4" hidden="1" customHeight="1">
      <c r="A97" s="3" t="s">
        <v>880</v>
      </c>
      <c r="B97" s="3" t="s">
        <v>1031</v>
      </c>
      <c r="D97" s="26" t="s">
        <v>881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41">
        <f t="shared" si="3"/>
        <v>0</v>
      </c>
      <c r="R97" s="61">
        <v>0</v>
      </c>
      <c r="S97" s="39"/>
      <c r="T97" s="39"/>
      <c r="U97" s="35"/>
      <c r="V97" s="40"/>
    </row>
    <row r="98" spans="1:22" s="3" customFormat="1" ht="25.4" hidden="1" customHeight="1">
      <c r="A98" s="3" t="s">
        <v>882</v>
      </c>
      <c r="B98" s="3" t="s">
        <v>1031</v>
      </c>
      <c r="D98" s="26" t="s">
        <v>883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41">
        <f t="shared" si="3"/>
        <v>0</v>
      </c>
      <c r="R98" s="61">
        <v>0</v>
      </c>
      <c r="S98" s="39"/>
      <c r="T98" s="39"/>
      <c r="U98" s="35"/>
      <c r="V98" s="40"/>
    </row>
    <row r="99" spans="1:22" s="3" customFormat="1" ht="25.4" hidden="1" customHeight="1">
      <c r="A99" s="3" t="s">
        <v>884</v>
      </c>
      <c r="B99" s="3" t="s">
        <v>1031</v>
      </c>
      <c r="D99" s="26" t="s">
        <v>885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41">
        <f t="shared" si="3"/>
        <v>0</v>
      </c>
      <c r="R99" s="61">
        <v>0</v>
      </c>
      <c r="S99" s="39"/>
      <c r="T99" s="39"/>
      <c r="U99" s="35"/>
      <c r="V99" s="40"/>
    </row>
    <row r="100" spans="1:22" s="3" customFormat="1" ht="25.4" hidden="1" customHeight="1">
      <c r="A100" s="3" t="s">
        <v>886</v>
      </c>
      <c r="B100" s="3" t="s">
        <v>1031</v>
      </c>
      <c r="D100" s="26" t="s">
        <v>887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41">
        <f t="shared" si="3"/>
        <v>0</v>
      </c>
      <c r="R100" s="61">
        <v>0</v>
      </c>
      <c r="S100" s="39"/>
      <c r="T100" s="39"/>
      <c r="U100" s="35"/>
      <c r="V100" s="40"/>
    </row>
    <row r="101" spans="1:22" s="3" customFormat="1" ht="25.4" hidden="1" customHeight="1">
      <c r="A101" s="3" t="s">
        <v>888</v>
      </c>
      <c r="B101" s="3" t="s">
        <v>1031</v>
      </c>
      <c r="D101" s="26" t="s">
        <v>889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41">
        <f t="shared" si="3"/>
        <v>0</v>
      </c>
      <c r="R101" s="61">
        <v>0</v>
      </c>
      <c r="S101" s="39"/>
      <c r="T101" s="39"/>
      <c r="U101" s="35"/>
      <c r="V101" s="40"/>
    </row>
    <row r="102" spans="1:22" s="3" customFormat="1" ht="25.4" hidden="1" customHeight="1">
      <c r="A102" s="3" t="s">
        <v>890</v>
      </c>
      <c r="B102" s="3" t="s">
        <v>1031</v>
      </c>
      <c r="D102" s="26" t="s">
        <v>891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41">
        <f t="shared" si="3"/>
        <v>0</v>
      </c>
      <c r="R102" s="61">
        <v>0</v>
      </c>
      <c r="S102" s="39"/>
      <c r="T102" s="39"/>
      <c r="U102" s="35"/>
      <c r="V102" s="40"/>
    </row>
    <row r="103" spans="1:22" s="3" customFormat="1" ht="25.4" hidden="1" customHeight="1">
      <c r="A103" s="3" t="s">
        <v>892</v>
      </c>
      <c r="B103" s="3" t="s">
        <v>1031</v>
      </c>
      <c r="D103" s="26" t="s">
        <v>893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41">
        <f t="shared" si="3"/>
        <v>0</v>
      </c>
      <c r="R103" s="61">
        <v>0</v>
      </c>
      <c r="S103" s="39"/>
      <c r="T103" s="39"/>
      <c r="U103" s="35"/>
      <c r="V103" s="40"/>
    </row>
    <row r="104" spans="1:22" s="3" customFormat="1" ht="25.4" hidden="1" customHeight="1">
      <c r="A104" s="3" t="s">
        <v>894</v>
      </c>
      <c r="B104" s="3" t="s">
        <v>1031</v>
      </c>
      <c r="D104" s="26" t="s">
        <v>895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41">
        <f t="shared" si="3"/>
        <v>0</v>
      </c>
      <c r="R104" s="61">
        <v>0</v>
      </c>
      <c r="S104" s="39"/>
      <c r="T104" s="39"/>
      <c r="U104" s="35"/>
      <c r="V104" s="40"/>
    </row>
    <row r="105" spans="1:22" s="3" customFormat="1" ht="25.4" hidden="1" customHeight="1">
      <c r="A105" s="3" t="s">
        <v>896</v>
      </c>
      <c r="B105" s="3" t="s">
        <v>1031</v>
      </c>
      <c r="D105" s="26" t="s">
        <v>897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41">
        <f t="shared" si="3"/>
        <v>0</v>
      </c>
      <c r="R105" s="61">
        <v>0</v>
      </c>
      <c r="S105" s="39"/>
      <c r="T105" s="39"/>
      <c r="U105" s="35"/>
      <c r="V105" s="40"/>
    </row>
    <row r="106" spans="1:22" s="3" customFormat="1" ht="25.4" hidden="1" customHeight="1">
      <c r="A106" s="3" t="s">
        <v>898</v>
      </c>
      <c r="B106" s="3" t="s">
        <v>1031</v>
      </c>
      <c r="D106" s="26" t="s">
        <v>899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41">
        <f t="shared" si="3"/>
        <v>0</v>
      </c>
      <c r="R106" s="61">
        <v>0</v>
      </c>
      <c r="S106" s="39"/>
      <c r="T106" s="39"/>
      <c r="U106" s="35"/>
      <c r="V106" s="40"/>
    </row>
    <row r="107" spans="1:22" s="3" customFormat="1" ht="25.4" hidden="1" customHeight="1">
      <c r="A107" s="3" t="s">
        <v>900</v>
      </c>
      <c r="B107" s="3" t="s">
        <v>1031</v>
      </c>
      <c r="D107" s="26" t="s">
        <v>901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41">
        <f t="shared" si="3"/>
        <v>0</v>
      </c>
      <c r="R107" s="61">
        <v>0</v>
      </c>
      <c r="S107" s="39"/>
      <c r="T107" s="39"/>
      <c r="U107" s="35"/>
      <c r="V107" s="40"/>
    </row>
    <row r="108" spans="1:22" s="3" customFormat="1" ht="25.4" hidden="1" customHeight="1">
      <c r="A108" s="3" t="s">
        <v>902</v>
      </c>
      <c r="B108" s="3" t="s">
        <v>1031</v>
      </c>
      <c r="D108" s="26" t="s">
        <v>903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41">
        <f t="shared" si="3"/>
        <v>0</v>
      </c>
      <c r="R108" s="61">
        <v>0</v>
      </c>
      <c r="S108" s="39"/>
      <c r="T108" s="39"/>
      <c r="U108" s="35"/>
      <c r="V108" s="40"/>
    </row>
    <row r="109" spans="1:22" s="3" customFormat="1" ht="25.4" hidden="1" customHeight="1">
      <c r="A109" s="3" t="s">
        <v>904</v>
      </c>
      <c r="B109" s="3" t="s">
        <v>1031</v>
      </c>
      <c r="D109" s="26" t="s">
        <v>905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41">
        <f t="shared" si="3"/>
        <v>0</v>
      </c>
      <c r="R109" s="61">
        <v>0</v>
      </c>
      <c r="S109" s="39"/>
      <c r="T109" s="39"/>
      <c r="U109" s="35"/>
      <c r="V109" s="40"/>
    </row>
    <row r="110" spans="1:22" s="3" customFormat="1" ht="25.4" hidden="1" customHeight="1">
      <c r="A110" s="3" t="s">
        <v>906</v>
      </c>
      <c r="B110" s="3" t="s">
        <v>1031</v>
      </c>
      <c r="D110" s="26" t="s">
        <v>907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41">
        <f t="shared" si="3"/>
        <v>0</v>
      </c>
      <c r="R110" s="61">
        <v>0</v>
      </c>
      <c r="S110" s="39"/>
      <c r="T110" s="39"/>
      <c r="U110" s="35"/>
      <c r="V110" s="40"/>
    </row>
    <row r="111" spans="1:22" s="3" customFormat="1" ht="25.4" hidden="1" customHeight="1">
      <c r="A111" s="3" t="s">
        <v>908</v>
      </c>
      <c r="B111" s="3" t="s">
        <v>1031</v>
      </c>
      <c r="D111" s="26" t="s">
        <v>909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41">
        <f t="shared" si="3"/>
        <v>0</v>
      </c>
      <c r="R111" s="61">
        <v>0</v>
      </c>
      <c r="S111" s="39"/>
      <c r="T111" s="39"/>
      <c r="U111" s="35"/>
      <c r="V111" s="40"/>
    </row>
    <row r="112" spans="1:22" s="3" customFormat="1" ht="25.4" hidden="1" customHeight="1">
      <c r="A112" s="3" t="s">
        <v>910</v>
      </c>
      <c r="B112" s="3" t="s">
        <v>1031</v>
      </c>
      <c r="D112" s="26" t="s">
        <v>911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41">
        <f t="shared" si="3"/>
        <v>0</v>
      </c>
      <c r="R112" s="61">
        <v>0</v>
      </c>
      <c r="S112" s="39"/>
      <c r="T112" s="39"/>
      <c r="U112" s="35"/>
      <c r="V112" s="40"/>
    </row>
    <row r="113" spans="1:22" s="3" customFormat="1" ht="25.4" hidden="1" customHeight="1">
      <c r="A113" s="3" t="s">
        <v>912</v>
      </c>
      <c r="B113" s="3" t="s">
        <v>1031</v>
      </c>
      <c r="D113" s="26" t="s">
        <v>913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41">
        <f t="shared" si="3"/>
        <v>0</v>
      </c>
      <c r="R113" s="61">
        <v>0</v>
      </c>
      <c r="S113" s="39"/>
      <c r="T113" s="39"/>
      <c r="U113" s="35"/>
      <c r="V113" s="40"/>
    </row>
    <row r="114" spans="1:22" s="3" customFormat="1" ht="25.4" hidden="1" customHeight="1">
      <c r="A114" s="3" t="s">
        <v>914</v>
      </c>
      <c r="B114" s="3" t="s">
        <v>1031</v>
      </c>
      <c r="D114" s="26" t="s">
        <v>915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41">
        <f t="shared" si="3"/>
        <v>0</v>
      </c>
      <c r="R114" s="61">
        <v>0</v>
      </c>
      <c r="S114" s="39"/>
      <c r="T114" s="39"/>
      <c r="U114" s="35"/>
      <c r="V114" s="40"/>
    </row>
    <row r="115" spans="1:22" s="3" customFormat="1" ht="25.4" hidden="1" customHeight="1">
      <c r="A115" s="3" t="s">
        <v>916</v>
      </c>
      <c r="B115" s="3" t="s">
        <v>1031</v>
      </c>
      <c r="D115" s="26" t="s">
        <v>917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41">
        <f t="shared" si="3"/>
        <v>0</v>
      </c>
      <c r="R115" s="61">
        <v>0</v>
      </c>
      <c r="S115" s="39"/>
      <c r="T115" s="39"/>
      <c r="U115" s="35"/>
      <c r="V115" s="40"/>
    </row>
    <row r="116" spans="1:22" s="3" customFormat="1" ht="25.4" hidden="1" customHeight="1">
      <c r="A116" s="3" t="s">
        <v>918</v>
      </c>
      <c r="B116" s="3" t="s">
        <v>1031</v>
      </c>
      <c r="D116" s="26" t="s">
        <v>919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41">
        <f t="shared" si="3"/>
        <v>0</v>
      </c>
      <c r="R116" s="61">
        <v>0</v>
      </c>
      <c r="S116" s="39"/>
      <c r="T116" s="39"/>
      <c r="U116" s="35"/>
      <c r="V116" s="40"/>
    </row>
    <row r="117" spans="1:22" s="3" customFormat="1" ht="25.4" hidden="1" customHeight="1">
      <c r="A117" s="3" t="s">
        <v>920</v>
      </c>
      <c r="B117" s="3" t="s">
        <v>1031</v>
      </c>
      <c r="D117" s="26" t="s">
        <v>921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41">
        <f t="shared" si="3"/>
        <v>0</v>
      </c>
      <c r="R117" s="61">
        <v>0</v>
      </c>
      <c r="S117" s="39"/>
      <c r="T117" s="39"/>
      <c r="U117" s="35"/>
      <c r="V117" s="40"/>
    </row>
    <row r="118" spans="1:22" s="3" customFormat="1" ht="25.4" hidden="1" customHeight="1">
      <c r="A118" s="3" t="s">
        <v>922</v>
      </c>
      <c r="B118" s="3" t="s">
        <v>1031</v>
      </c>
      <c r="D118" s="26" t="s">
        <v>923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41">
        <f t="shared" si="3"/>
        <v>0</v>
      </c>
      <c r="R118" s="61">
        <v>0</v>
      </c>
      <c r="S118" s="39"/>
      <c r="T118" s="39"/>
      <c r="U118" s="35"/>
      <c r="V118" s="40"/>
    </row>
    <row r="119" spans="1:22" s="3" customFormat="1" ht="25.4" hidden="1" customHeight="1">
      <c r="A119" s="3" t="s">
        <v>924</v>
      </c>
      <c r="B119" s="3" t="s">
        <v>1031</v>
      </c>
      <c r="D119" s="26" t="s">
        <v>925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41">
        <f t="shared" si="3"/>
        <v>0</v>
      </c>
      <c r="R119" s="61">
        <v>0</v>
      </c>
      <c r="S119" s="39"/>
      <c r="T119" s="39"/>
      <c r="U119" s="35"/>
      <c r="V119" s="40"/>
    </row>
    <row r="120" spans="1:22" s="3" customFormat="1" ht="25.4" hidden="1" customHeight="1">
      <c r="A120" s="3" t="s">
        <v>926</v>
      </c>
      <c r="B120" s="3" t="s">
        <v>1031</v>
      </c>
      <c r="D120" s="26" t="s">
        <v>927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41">
        <f t="shared" si="3"/>
        <v>0</v>
      </c>
      <c r="R120" s="61">
        <v>0</v>
      </c>
      <c r="S120" s="39"/>
      <c r="T120" s="39"/>
      <c r="U120" s="35"/>
      <c r="V120" s="40"/>
    </row>
    <row r="121" spans="1:22" s="3" customFormat="1" ht="25.4" hidden="1" customHeight="1">
      <c r="A121" s="3" t="s">
        <v>928</v>
      </c>
      <c r="B121" s="3" t="s">
        <v>1031</v>
      </c>
      <c r="D121" s="26" t="s">
        <v>929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41">
        <f t="shared" si="3"/>
        <v>0</v>
      </c>
      <c r="R121" s="61">
        <v>0</v>
      </c>
      <c r="S121" s="39"/>
      <c r="T121" s="39"/>
      <c r="U121" s="35"/>
      <c r="V121" s="40"/>
    </row>
    <row r="122" spans="1:22" s="3" customFormat="1" ht="25.4" hidden="1" customHeight="1">
      <c r="A122" s="3" t="s">
        <v>930</v>
      </c>
      <c r="B122" s="3" t="s">
        <v>1031</v>
      </c>
      <c r="D122" s="26" t="s">
        <v>931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41">
        <f t="shared" si="3"/>
        <v>0</v>
      </c>
      <c r="R122" s="61">
        <v>0</v>
      </c>
      <c r="S122" s="39"/>
      <c r="T122" s="39"/>
      <c r="U122" s="35"/>
      <c r="V122" s="40"/>
    </row>
    <row r="123" spans="1:22" s="3" customFormat="1" ht="25.4" hidden="1" customHeight="1">
      <c r="A123" s="3" t="s">
        <v>932</v>
      </c>
      <c r="B123" s="3" t="s">
        <v>1031</v>
      </c>
      <c r="D123" s="26" t="s">
        <v>933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41">
        <f t="shared" si="3"/>
        <v>0</v>
      </c>
      <c r="R123" s="61">
        <v>0</v>
      </c>
      <c r="S123" s="39"/>
      <c r="T123" s="39"/>
      <c r="U123" s="35"/>
      <c r="V123" s="40"/>
    </row>
    <row r="124" spans="1:22" s="3" customFormat="1" ht="25.4" hidden="1" customHeight="1">
      <c r="A124" s="3" t="s">
        <v>934</v>
      </c>
      <c r="B124" s="3" t="s">
        <v>1031</v>
      </c>
      <c r="D124" s="26" t="s">
        <v>935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41">
        <f t="shared" si="3"/>
        <v>0</v>
      </c>
      <c r="R124" s="61">
        <v>0</v>
      </c>
      <c r="S124" s="39"/>
      <c r="T124" s="39"/>
      <c r="U124" s="35"/>
      <c r="V124" s="40"/>
    </row>
    <row r="125" spans="1:22" s="3" customFormat="1" ht="25.4" hidden="1" customHeight="1">
      <c r="A125" s="3" t="s">
        <v>936</v>
      </c>
      <c r="B125" s="3" t="s">
        <v>1031</v>
      </c>
      <c r="D125" s="26" t="s">
        <v>937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41">
        <f t="shared" si="3"/>
        <v>0</v>
      </c>
      <c r="R125" s="61">
        <v>0</v>
      </c>
      <c r="S125" s="39"/>
      <c r="T125" s="39"/>
      <c r="U125" s="35"/>
      <c r="V125" s="40"/>
    </row>
    <row r="126" spans="1:22" s="3" customFormat="1" ht="25.4" hidden="1" customHeight="1">
      <c r="A126" s="3" t="s">
        <v>938</v>
      </c>
      <c r="B126" s="3" t="s">
        <v>1031</v>
      </c>
      <c r="D126" s="26" t="s">
        <v>939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41">
        <f t="shared" si="3"/>
        <v>0</v>
      </c>
      <c r="R126" s="61">
        <v>0</v>
      </c>
      <c r="S126" s="39"/>
      <c r="T126" s="39"/>
      <c r="U126" s="35"/>
      <c r="V126" s="40"/>
    </row>
    <row r="127" spans="1:22" s="3" customFormat="1" ht="25.4" hidden="1" customHeight="1">
      <c r="A127" s="3" t="s">
        <v>940</v>
      </c>
      <c r="B127" s="3" t="s">
        <v>1031</v>
      </c>
      <c r="D127" s="26" t="s">
        <v>941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41">
        <f t="shared" si="3"/>
        <v>0</v>
      </c>
      <c r="R127" s="61">
        <v>0</v>
      </c>
      <c r="S127" s="39"/>
      <c r="T127" s="39"/>
      <c r="U127" s="35"/>
      <c r="V127" s="40"/>
    </row>
    <row r="128" spans="1:22" s="3" customFormat="1" ht="25.4" hidden="1" customHeight="1">
      <c r="A128" s="3" t="s">
        <v>942</v>
      </c>
      <c r="B128" s="3" t="s">
        <v>1031</v>
      </c>
      <c r="D128" s="26" t="s">
        <v>943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41">
        <f t="shared" si="3"/>
        <v>0</v>
      </c>
      <c r="R128" s="61">
        <v>0</v>
      </c>
      <c r="S128" s="39"/>
      <c r="T128" s="39"/>
      <c r="U128" s="35"/>
      <c r="V128" s="40"/>
    </row>
    <row r="129" spans="1:22" s="3" customFormat="1" ht="25.4" hidden="1" customHeight="1">
      <c r="A129" s="3" t="s">
        <v>944</v>
      </c>
      <c r="B129" s="3" t="s">
        <v>1031</v>
      </c>
      <c r="D129" s="26" t="s">
        <v>945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41">
        <f t="shared" si="3"/>
        <v>0</v>
      </c>
      <c r="R129" s="61">
        <v>0</v>
      </c>
      <c r="S129" s="39"/>
      <c r="T129" s="39"/>
      <c r="U129" s="35"/>
      <c r="V129" s="40"/>
    </row>
    <row r="130" spans="1:22" s="3" customFormat="1" ht="25.4" hidden="1" customHeight="1">
      <c r="A130" s="3" t="s">
        <v>946</v>
      </c>
      <c r="B130" s="3" t="s">
        <v>1031</v>
      </c>
      <c r="D130" s="26" t="s">
        <v>947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41">
        <f t="shared" si="3"/>
        <v>0</v>
      </c>
      <c r="R130" s="61">
        <v>0</v>
      </c>
      <c r="S130" s="39"/>
      <c r="T130" s="39"/>
      <c r="U130" s="35"/>
      <c r="V130" s="40"/>
    </row>
    <row r="131" spans="1:22" s="3" customFormat="1" ht="25.4" hidden="1" customHeight="1">
      <c r="A131" s="3" t="s">
        <v>948</v>
      </c>
      <c r="B131" s="3" t="s">
        <v>1031</v>
      </c>
      <c r="D131" s="26" t="s">
        <v>949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41">
        <f t="shared" si="3"/>
        <v>0</v>
      </c>
      <c r="R131" s="61">
        <v>0</v>
      </c>
      <c r="S131" s="39"/>
      <c r="T131" s="39"/>
      <c r="U131" s="35"/>
      <c r="V131" s="40"/>
    </row>
    <row r="132" spans="1:22" s="3" customFormat="1" ht="25.4" hidden="1" customHeight="1">
      <c r="A132" s="3" t="s">
        <v>950</v>
      </c>
      <c r="B132" s="3" t="s">
        <v>1031</v>
      </c>
      <c r="D132" s="26" t="s">
        <v>951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41">
        <f t="shared" si="3"/>
        <v>0</v>
      </c>
      <c r="R132" s="61">
        <v>62450</v>
      </c>
      <c r="S132" s="39"/>
      <c r="T132" s="39"/>
      <c r="U132" s="35"/>
      <c r="V132" s="40"/>
    </row>
    <row r="133" spans="1:22" s="3" customFormat="1" ht="25.4" hidden="1" customHeight="1">
      <c r="A133" s="3" t="s">
        <v>952</v>
      </c>
      <c r="B133" s="3" t="s">
        <v>1031</v>
      </c>
      <c r="D133" s="26" t="s">
        <v>953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41">
        <f t="shared" si="3"/>
        <v>0</v>
      </c>
      <c r="R133" s="61">
        <v>0</v>
      </c>
      <c r="S133" s="39"/>
      <c r="T133" s="39"/>
      <c r="U133" s="35"/>
      <c r="V133" s="40"/>
    </row>
    <row r="134" spans="1:22" s="3" customFormat="1" ht="25.4" hidden="1" customHeight="1">
      <c r="A134" s="3" t="s">
        <v>954</v>
      </c>
      <c r="B134" s="3" t="s">
        <v>1031</v>
      </c>
      <c r="D134" s="26" t="s">
        <v>955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41">
        <f t="shared" si="3"/>
        <v>0</v>
      </c>
      <c r="R134" s="61">
        <v>0</v>
      </c>
      <c r="S134" s="39"/>
      <c r="T134" s="39"/>
      <c r="U134" s="35"/>
      <c r="V134" s="40"/>
    </row>
    <row r="135" spans="1:22" s="3" customFormat="1" ht="25.4" hidden="1" customHeight="1">
      <c r="A135" s="3" t="s">
        <v>956</v>
      </c>
      <c r="B135" s="3" t="s">
        <v>1031</v>
      </c>
      <c r="D135" s="26" t="s">
        <v>957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41">
        <f t="shared" si="3"/>
        <v>0</v>
      </c>
      <c r="R135" s="61">
        <v>50000</v>
      </c>
      <c r="S135" s="39"/>
      <c r="T135" s="39"/>
      <c r="U135" s="35"/>
      <c r="V135" s="40"/>
    </row>
    <row r="136" spans="1:22" s="3" customFormat="1" ht="25.4" hidden="1" customHeight="1">
      <c r="A136" s="3" t="s">
        <v>958</v>
      </c>
      <c r="B136" s="3" t="s">
        <v>1031</v>
      </c>
      <c r="D136" s="26" t="s">
        <v>959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41">
        <f t="shared" si="3"/>
        <v>0</v>
      </c>
      <c r="R136" s="61">
        <v>0</v>
      </c>
      <c r="S136" s="39"/>
      <c r="T136" s="39"/>
      <c r="U136" s="35"/>
      <c r="V136" s="40"/>
    </row>
    <row r="137" spans="1:22" s="3" customFormat="1" ht="25.4" hidden="1" customHeight="1">
      <c r="A137" s="3" t="s">
        <v>960</v>
      </c>
      <c r="B137" s="3" t="s">
        <v>1031</v>
      </c>
      <c r="D137" s="26" t="s">
        <v>961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41">
        <f t="shared" si="3"/>
        <v>0</v>
      </c>
      <c r="R137" s="61">
        <v>0</v>
      </c>
      <c r="S137" s="39"/>
      <c r="T137" s="39"/>
      <c r="U137" s="35"/>
      <c r="V137" s="40"/>
    </row>
    <row r="138" spans="1:22" s="3" customFormat="1" ht="25.4" hidden="1" customHeight="1">
      <c r="A138" s="3" t="s">
        <v>962</v>
      </c>
      <c r="B138" s="3" t="s">
        <v>1031</v>
      </c>
      <c r="D138" s="26" t="s">
        <v>963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41">
        <f t="shared" si="3"/>
        <v>0</v>
      </c>
      <c r="R138" s="61">
        <v>0</v>
      </c>
      <c r="S138" s="39"/>
      <c r="T138" s="39"/>
      <c r="U138" s="35"/>
      <c r="V138" s="40"/>
    </row>
    <row r="139" spans="1:22" s="3" customFormat="1" ht="25.4" hidden="1" customHeight="1">
      <c r="A139" s="3" t="s">
        <v>964</v>
      </c>
      <c r="B139" s="3" t="s">
        <v>1031</v>
      </c>
      <c r="D139" s="26" t="s">
        <v>965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41">
        <f t="shared" si="3"/>
        <v>0</v>
      </c>
      <c r="R139" s="61">
        <v>676515.1</v>
      </c>
      <c r="S139" s="39"/>
      <c r="T139" s="39"/>
      <c r="U139" s="35"/>
      <c r="V139" s="40"/>
    </row>
    <row r="140" spans="1:22" s="3" customFormat="1" ht="25.4" hidden="1" customHeight="1">
      <c r="A140" s="3" t="s">
        <v>966</v>
      </c>
      <c r="B140" s="3" t="s">
        <v>1031</v>
      </c>
      <c r="D140" s="26" t="s">
        <v>967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41">
        <f t="shared" si="3"/>
        <v>0</v>
      </c>
      <c r="R140" s="61">
        <v>0</v>
      </c>
      <c r="S140" s="39"/>
      <c r="T140" s="39"/>
      <c r="U140" s="35"/>
      <c r="V140" s="40"/>
    </row>
    <row r="141" spans="1:22" s="3" customFormat="1" ht="25.4" hidden="1" customHeight="1">
      <c r="A141" s="3" t="s">
        <v>968</v>
      </c>
      <c r="B141" s="3" t="s">
        <v>1031</v>
      </c>
      <c r="D141" s="26" t="s">
        <v>969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41">
        <f t="shared" si="3"/>
        <v>0</v>
      </c>
      <c r="R141" s="61">
        <v>0</v>
      </c>
      <c r="S141" s="39"/>
      <c r="T141" s="39"/>
      <c r="U141" s="35"/>
      <c r="V141" s="40"/>
    </row>
    <row r="142" spans="1:22" s="3" customFormat="1" ht="25.4" hidden="1" customHeight="1">
      <c r="A142" s="3" t="s">
        <v>970</v>
      </c>
      <c r="B142" s="3" t="s">
        <v>1031</v>
      </c>
      <c r="D142" s="26" t="s">
        <v>971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41">
        <f t="shared" si="3"/>
        <v>0</v>
      </c>
      <c r="R142" s="61">
        <v>0</v>
      </c>
      <c r="S142" s="39"/>
      <c r="T142" s="39"/>
      <c r="U142" s="35"/>
      <c r="V142" s="40"/>
    </row>
    <row r="143" spans="1:22" s="3" customFormat="1" ht="25.4" hidden="1" customHeight="1">
      <c r="A143" s="3" t="s">
        <v>972</v>
      </c>
      <c r="B143" s="3" t="s">
        <v>1031</v>
      </c>
      <c r="D143" s="26" t="s">
        <v>973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41">
        <f t="shared" si="3"/>
        <v>0</v>
      </c>
      <c r="R143" s="61">
        <v>0</v>
      </c>
      <c r="S143" s="39"/>
      <c r="T143" s="39"/>
      <c r="U143" s="35"/>
      <c r="V143" s="40"/>
    </row>
    <row r="144" spans="1:22" s="3" customFormat="1" ht="25.4" hidden="1" customHeight="1">
      <c r="A144" s="3" t="s">
        <v>974</v>
      </c>
      <c r="B144" s="3" t="s">
        <v>1031</v>
      </c>
      <c r="D144" s="26" t="s">
        <v>975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41">
        <f t="shared" ref="Q144:Q156" si="4">SUM(E144:P144)</f>
        <v>0</v>
      </c>
      <c r="R144" s="61">
        <v>4538.3999999999996</v>
      </c>
      <c r="S144" s="39"/>
      <c r="T144" s="39"/>
      <c r="U144" s="35"/>
      <c r="V144" s="40"/>
    </row>
    <row r="145" spans="1:23" s="3" customFormat="1" ht="25.4" hidden="1" customHeight="1">
      <c r="A145" s="3" t="s">
        <v>976</v>
      </c>
      <c r="B145" s="3" t="s">
        <v>1031</v>
      </c>
      <c r="D145" s="26" t="s">
        <v>977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41">
        <f t="shared" si="4"/>
        <v>0</v>
      </c>
      <c r="R145" s="61">
        <v>0</v>
      </c>
      <c r="S145" s="39"/>
      <c r="T145" s="39"/>
      <c r="U145" s="35"/>
      <c r="V145" s="40"/>
    </row>
    <row r="146" spans="1:23" s="3" customFormat="1" ht="25.4" hidden="1" customHeight="1">
      <c r="A146" s="3" t="s">
        <v>978</v>
      </c>
      <c r="B146" s="3" t="s">
        <v>1031</v>
      </c>
      <c r="D146" s="26" t="s">
        <v>979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41">
        <f t="shared" si="4"/>
        <v>0</v>
      </c>
      <c r="R146" s="61">
        <v>0</v>
      </c>
      <c r="S146" s="39"/>
      <c r="T146" s="39"/>
      <c r="U146" s="35"/>
      <c r="V146" s="40"/>
    </row>
    <row r="147" spans="1:23" s="3" customFormat="1" ht="25.4" hidden="1" customHeight="1">
      <c r="A147" s="3" t="s">
        <v>980</v>
      </c>
      <c r="B147" s="3" t="s">
        <v>1031</v>
      </c>
      <c r="D147" s="26" t="s">
        <v>981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41">
        <f t="shared" si="4"/>
        <v>0</v>
      </c>
      <c r="R147" s="61">
        <v>238757.98</v>
      </c>
      <c r="S147" s="39"/>
      <c r="T147" s="39"/>
      <c r="U147" s="35"/>
      <c r="V147" s="40"/>
    </row>
    <row r="148" spans="1:23" s="3" customFormat="1" ht="25.4" hidden="1" customHeight="1">
      <c r="A148" s="3" t="s">
        <v>982</v>
      </c>
      <c r="B148" s="3" t="s">
        <v>1031</v>
      </c>
      <c r="D148" s="26" t="s">
        <v>983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41">
        <f t="shared" si="4"/>
        <v>0</v>
      </c>
      <c r="R148" s="61">
        <v>0</v>
      </c>
      <c r="S148" s="39"/>
      <c r="T148" s="39"/>
      <c r="U148" s="35"/>
      <c r="V148" s="40"/>
    </row>
    <row r="149" spans="1:23" s="3" customFormat="1" ht="25.4" hidden="1" customHeight="1">
      <c r="A149" s="3" t="s">
        <v>984</v>
      </c>
      <c r="B149" s="3" t="s">
        <v>1031</v>
      </c>
      <c r="D149" s="26" t="s">
        <v>985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41">
        <f t="shared" si="4"/>
        <v>0</v>
      </c>
      <c r="R149" s="61">
        <v>0</v>
      </c>
      <c r="S149" s="39"/>
      <c r="T149" s="39"/>
      <c r="U149" s="35"/>
      <c r="V149" s="40"/>
    </row>
    <row r="150" spans="1:23" s="3" customFormat="1" ht="25.4" hidden="1" customHeight="1">
      <c r="A150" s="3" t="s">
        <v>986</v>
      </c>
      <c r="B150" s="3" t="s">
        <v>1031</v>
      </c>
      <c r="D150" s="26" t="s">
        <v>987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41">
        <f t="shared" si="4"/>
        <v>0</v>
      </c>
      <c r="R150" s="61">
        <v>1402591.0799</v>
      </c>
      <c r="S150" s="39"/>
      <c r="T150" s="39"/>
      <c r="U150" s="35"/>
      <c r="V150" s="40"/>
    </row>
    <row r="151" spans="1:23" s="3" customFormat="1" ht="25.4" hidden="1" customHeight="1">
      <c r="A151" s="3" t="s">
        <v>988</v>
      </c>
      <c r="B151" s="3" t="s">
        <v>1031</v>
      </c>
      <c r="D151" s="26" t="s">
        <v>989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41">
        <f t="shared" si="4"/>
        <v>0</v>
      </c>
      <c r="R151" s="61">
        <v>0</v>
      </c>
      <c r="S151" s="39"/>
      <c r="T151" s="39"/>
      <c r="U151" s="35"/>
      <c r="V151" s="40"/>
    </row>
    <row r="152" spans="1:23" s="3" customFormat="1" ht="25.4" hidden="1" customHeight="1">
      <c r="A152" s="3" t="s">
        <v>990</v>
      </c>
      <c r="B152" s="3" t="s">
        <v>1031</v>
      </c>
      <c r="D152" s="26" t="s">
        <v>991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41">
        <f t="shared" si="4"/>
        <v>0</v>
      </c>
      <c r="R152" s="61">
        <v>0</v>
      </c>
      <c r="S152" s="39"/>
      <c r="T152" s="39"/>
      <c r="U152" s="35"/>
      <c r="V152" s="40"/>
    </row>
    <row r="153" spans="1:23" s="3" customFormat="1" ht="25.4" hidden="1" customHeight="1">
      <c r="A153" s="3" t="s">
        <v>992</v>
      </c>
      <c r="B153" s="3" t="s">
        <v>1031</v>
      </c>
      <c r="D153" s="26" t="s">
        <v>993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41">
        <f t="shared" si="4"/>
        <v>0</v>
      </c>
      <c r="R153" s="61">
        <v>0</v>
      </c>
      <c r="S153" s="39"/>
      <c r="T153" s="39"/>
      <c r="U153" s="35"/>
      <c r="V153" s="40"/>
    </row>
    <row r="154" spans="1:23" s="3" customFormat="1" ht="25.4" hidden="1" customHeight="1">
      <c r="A154" s="3" t="s">
        <v>994</v>
      </c>
      <c r="B154" s="3" t="s">
        <v>1031</v>
      </c>
      <c r="D154" s="26" t="s">
        <v>995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41">
        <f t="shared" si="4"/>
        <v>0</v>
      </c>
      <c r="R154" s="61">
        <v>0</v>
      </c>
      <c r="S154" s="39"/>
      <c r="T154" s="39"/>
      <c r="U154" s="35"/>
      <c r="V154" s="40"/>
    </row>
    <row r="155" spans="1:23" s="3" customFormat="1" ht="25.4" hidden="1" customHeight="1">
      <c r="A155" s="3" t="s">
        <v>996</v>
      </c>
      <c r="B155" s="3" t="s">
        <v>1031</v>
      </c>
      <c r="D155" s="26" t="s">
        <v>997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41">
        <f t="shared" si="4"/>
        <v>0</v>
      </c>
      <c r="R155" s="61">
        <v>0</v>
      </c>
      <c r="S155" s="39"/>
      <c r="T155" s="39"/>
      <c r="U155" s="35"/>
      <c r="V155" s="40"/>
    </row>
    <row r="156" spans="1:23" s="3" customFormat="1" ht="25.4" customHeight="1">
      <c r="A156" s="3" t="s">
        <v>595</v>
      </c>
      <c r="B156" s="3" t="s">
        <v>1031</v>
      </c>
      <c r="D156" s="26" t="s">
        <v>596</v>
      </c>
      <c r="E156" s="27">
        <v>500</v>
      </c>
      <c r="F156" s="27">
        <v>500</v>
      </c>
      <c r="G156" s="27">
        <v>500</v>
      </c>
      <c r="H156" s="27">
        <v>500</v>
      </c>
      <c r="I156" s="27">
        <v>500</v>
      </c>
      <c r="J156" s="27">
        <v>500</v>
      </c>
      <c r="K156" s="27">
        <v>500</v>
      </c>
      <c r="L156" s="27">
        <v>500</v>
      </c>
      <c r="M156" s="27">
        <v>500</v>
      </c>
      <c r="N156" s="27">
        <v>500</v>
      </c>
      <c r="O156" s="27">
        <v>500</v>
      </c>
      <c r="P156" s="27">
        <v>500</v>
      </c>
      <c r="Q156" s="41">
        <f t="shared" si="4"/>
        <v>6000</v>
      </c>
      <c r="R156" s="61">
        <v>19689.61</v>
      </c>
      <c r="S156" s="39"/>
      <c r="T156" s="39"/>
      <c r="U156" s="35"/>
      <c r="V156" s="40"/>
    </row>
    <row r="157" spans="1:23" s="19" customFormat="1" ht="25.4" customHeight="1">
      <c r="D157" s="21" t="s">
        <v>597</v>
      </c>
      <c r="E157" s="45">
        <f>SUM(E15:E156)</f>
        <v>6596</v>
      </c>
      <c r="F157" s="45">
        <f t="shared" ref="F157:P157" si="5">SUM(F15:F156)</f>
        <v>6596</v>
      </c>
      <c r="G157" s="45">
        <f t="shared" si="5"/>
        <v>6596</v>
      </c>
      <c r="H157" s="45">
        <f t="shared" si="5"/>
        <v>6596</v>
      </c>
      <c r="I157" s="45">
        <f t="shared" si="5"/>
        <v>6596</v>
      </c>
      <c r="J157" s="45">
        <f t="shared" si="5"/>
        <v>6596</v>
      </c>
      <c r="K157" s="45">
        <f t="shared" si="5"/>
        <v>6596</v>
      </c>
      <c r="L157" s="45">
        <f t="shared" si="5"/>
        <v>6596</v>
      </c>
      <c r="M157" s="45">
        <f t="shared" si="5"/>
        <v>6596</v>
      </c>
      <c r="N157" s="45">
        <f t="shared" si="5"/>
        <v>6596</v>
      </c>
      <c r="O157" s="45">
        <f t="shared" si="5"/>
        <v>6596</v>
      </c>
      <c r="P157" s="45">
        <f t="shared" si="5"/>
        <v>6596</v>
      </c>
      <c r="Q157" s="45">
        <f>SUM(Q15:Q156)</f>
        <v>79152</v>
      </c>
      <c r="R157" s="45">
        <v>3329050.5998999998</v>
      </c>
      <c r="S157" s="39"/>
      <c r="T157" s="39"/>
      <c r="U157" s="35"/>
      <c r="V157" s="40"/>
    </row>
    <row r="158" spans="1:23" s="19" customFormat="1" ht="25.4" customHeight="1">
      <c r="A158" s="19" t="s">
        <v>1032</v>
      </c>
      <c r="B158" s="19" t="s">
        <v>1031</v>
      </c>
      <c r="D158" s="21" t="s">
        <v>601</v>
      </c>
      <c r="E158" s="27">
        <f>-E12-E157</f>
        <v>-79504.38</v>
      </c>
      <c r="F158" s="27">
        <f t="shared" ref="F158:P158" si="6">-F12-F157</f>
        <v>-69141.86</v>
      </c>
      <c r="G158" s="27">
        <f t="shared" si="6"/>
        <v>-68862.5</v>
      </c>
      <c r="H158" s="27">
        <f t="shared" si="6"/>
        <v>-71379.44</v>
      </c>
      <c r="I158" s="27">
        <f t="shared" si="6"/>
        <v>-73833.349999999991</v>
      </c>
      <c r="J158" s="27">
        <f t="shared" si="6"/>
        <v>-68465.62</v>
      </c>
      <c r="K158" s="27">
        <f t="shared" si="6"/>
        <v>-68352.179999999993</v>
      </c>
      <c r="L158" s="27">
        <f t="shared" si="6"/>
        <v>-68366.5</v>
      </c>
      <c r="M158" s="27">
        <f t="shared" si="6"/>
        <v>-68379.06</v>
      </c>
      <c r="N158" s="27">
        <f t="shared" si="6"/>
        <v>-76721.97</v>
      </c>
      <c r="O158" s="27">
        <f t="shared" si="6"/>
        <v>-68312.01999999999</v>
      </c>
      <c r="P158" s="27">
        <f t="shared" si="6"/>
        <v>-68277.38</v>
      </c>
      <c r="Q158" s="41">
        <f>SUM(E158:P158)</f>
        <v>-849596.25999999989</v>
      </c>
      <c r="R158" s="45">
        <v>6013299.7198999999</v>
      </c>
      <c r="U158" s="35"/>
      <c r="V158" s="40"/>
      <c r="W158" s="381"/>
    </row>
    <row r="159" spans="1:23" s="42" customFormat="1" ht="25.4" customHeight="1">
      <c r="E159" s="286">
        <f>+E158</f>
        <v>-79504.38</v>
      </c>
      <c r="F159" s="286">
        <f t="shared" ref="F159:P159" si="7">+F158</f>
        <v>-69141.86</v>
      </c>
      <c r="G159" s="286">
        <f t="shared" si="7"/>
        <v>-68862.5</v>
      </c>
      <c r="H159" s="286">
        <f t="shared" si="7"/>
        <v>-71379.44</v>
      </c>
      <c r="I159" s="286">
        <f t="shared" si="7"/>
        <v>-73833.349999999991</v>
      </c>
      <c r="J159" s="286">
        <f t="shared" si="7"/>
        <v>-68465.62</v>
      </c>
      <c r="K159" s="286">
        <f t="shared" si="7"/>
        <v>-68352.179999999993</v>
      </c>
      <c r="L159" s="286">
        <f t="shared" si="7"/>
        <v>-68366.5</v>
      </c>
      <c r="M159" s="286">
        <f t="shared" si="7"/>
        <v>-68379.06</v>
      </c>
      <c r="N159" s="286">
        <f t="shared" si="7"/>
        <v>-76721.97</v>
      </c>
      <c r="O159" s="286">
        <f t="shared" si="7"/>
        <v>-68312.01999999999</v>
      </c>
      <c r="P159" s="286">
        <f t="shared" si="7"/>
        <v>-68277.38</v>
      </c>
      <c r="Q159" s="286">
        <f>SUM(E159:P159)</f>
        <v>-849596.25999999989</v>
      </c>
      <c r="U159" s="35"/>
      <c r="V159" s="40"/>
      <c r="W159" s="173">
        <f>+'Rooms Summary'!Q91</f>
        <v>155410.64000000001</v>
      </c>
    </row>
    <row r="160" spans="1:23" s="3" customFormat="1" ht="25.4" customHeight="1">
      <c r="D160" s="19" t="s">
        <v>602</v>
      </c>
      <c r="E160" s="48"/>
      <c r="F160" s="48"/>
      <c r="G160" s="48"/>
      <c r="H160" s="48"/>
      <c r="I160" s="48"/>
      <c r="U160" s="35"/>
      <c r="V160" s="40"/>
      <c r="W160" s="306">
        <f>+'F&amp;B Summary'!Q118</f>
        <v>429351.13</v>
      </c>
    </row>
    <row r="161" spans="1:23" s="3" customFormat="1" ht="25.4" customHeight="1">
      <c r="D161" s="19" t="s">
        <v>431</v>
      </c>
      <c r="E161" s="48"/>
      <c r="F161" s="48"/>
      <c r="G161" s="48"/>
      <c r="H161" s="48"/>
      <c r="I161" s="48"/>
      <c r="U161" s="35"/>
      <c r="V161" s="40"/>
      <c r="W161" s="306">
        <f>+'Health Club'!Q108</f>
        <v>30808.22</v>
      </c>
    </row>
    <row r="162" spans="1:23" s="3" customFormat="1" ht="25.4" customHeight="1">
      <c r="A162" s="256" t="s">
        <v>297</v>
      </c>
      <c r="B162" s="3" t="s">
        <v>1031</v>
      </c>
      <c r="D162" s="26" t="s">
        <v>299</v>
      </c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1">
        <f>SUM(E162:P162)</f>
        <v>0</v>
      </c>
      <c r="R162" s="61">
        <v>1245231.19</v>
      </c>
      <c r="S162" s="39">
        <f>Q162/Summary!$Q$16</f>
        <v>0</v>
      </c>
      <c r="T162" s="39">
        <f>Laundry!$S162</f>
        <v>0</v>
      </c>
      <c r="U162" s="35"/>
      <c r="V162" s="40"/>
      <c r="W162" s="306">
        <f>+'A&amp;G'!Q70</f>
        <v>137490.03999999998</v>
      </c>
    </row>
    <row r="163" spans="1:23" s="3" customFormat="1" ht="25.4" customHeight="1">
      <c r="A163" s="50" t="s">
        <v>300</v>
      </c>
      <c r="B163" s="3" t="s">
        <v>1031</v>
      </c>
      <c r="D163" s="26" t="s">
        <v>434</v>
      </c>
      <c r="E163" s="43">
        <v>37600</v>
      </c>
      <c r="F163" s="43">
        <v>37600</v>
      </c>
      <c r="G163" s="43">
        <v>37600</v>
      </c>
      <c r="H163" s="43">
        <v>37600</v>
      </c>
      <c r="I163" s="43">
        <v>37600</v>
      </c>
      <c r="J163" s="43">
        <v>37600</v>
      </c>
      <c r="K163" s="43">
        <v>37600</v>
      </c>
      <c r="L163" s="43">
        <v>37600</v>
      </c>
      <c r="M163" s="43">
        <v>37600</v>
      </c>
      <c r="N163" s="43">
        <v>37600</v>
      </c>
      <c r="O163" s="43">
        <v>37600</v>
      </c>
      <c r="P163" s="43">
        <v>37600</v>
      </c>
      <c r="Q163" s="41">
        <f>SUM(E163:P163)</f>
        <v>451200</v>
      </c>
      <c r="R163" s="61">
        <v>219950.81</v>
      </c>
      <c r="S163" s="39">
        <f>Q163/Summary!$Q$16</f>
        <v>5.664766586105114E-3</v>
      </c>
      <c r="T163" s="39">
        <f>Laundry!$S163</f>
        <v>5.664766586105114E-3</v>
      </c>
      <c r="U163" s="35"/>
      <c r="V163" s="40"/>
      <c r="W163" s="306">
        <f>+'R&amp;M'!Q70</f>
        <v>52655.76</v>
      </c>
    </row>
    <row r="164" spans="1:23" s="3" customFormat="1" ht="25.4" customHeight="1">
      <c r="B164" s="51"/>
      <c r="D164" s="21" t="s">
        <v>437</v>
      </c>
      <c r="E164" s="52">
        <f>SUM(E162:E163)</f>
        <v>37600</v>
      </c>
      <c r="F164" s="52">
        <f t="shared" ref="F164:P164" si="8">SUM(F162:F163)</f>
        <v>37600</v>
      </c>
      <c r="G164" s="52">
        <f t="shared" si="8"/>
        <v>37600</v>
      </c>
      <c r="H164" s="52">
        <f t="shared" si="8"/>
        <v>37600</v>
      </c>
      <c r="I164" s="52">
        <f t="shared" si="8"/>
        <v>37600</v>
      </c>
      <c r="J164" s="52">
        <f t="shared" si="8"/>
        <v>37600</v>
      </c>
      <c r="K164" s="52">
        <f t="shared" si="8"/>
        <v>37600</v>
      </c>
      <c r="L164" s="52">
        <f t="shared" si="8"/>
        <v>37600</v>
      </c>
      <c r="M164" s="52">
        <f t="shared" si="8"/>
        <v>37600</v>
      </c>
      <c r="N164" s="52">
        <f t="shared" si="8"/>
        <v>37600</v>
      </c>
      <c r="O164" s="52">
        <f t="shared" si="8"/>
        <v>37600</v>
      </c>
      <c r="P164" s="52">
        <f t="shared" si="8"/>
        <v>37600</v>
      </c>
      <c r="Q164" s="52">
        <f t="shared" ref="Q164" si="9">SUM(Q162:Q163)</f>
        <v>451200</v>
      </c>
      <c r="R164" s="52">
        <v>1465182</v>
      </c>
      <c r="S164" s="39">
        <f>Q164/Summary!$Q$16</f>
        <v>5.664766586105114E-3</v>
      </c>
      <c r="T164" s="39">
        <f>Laundry!$S164</f>
        <v>5.664766586105114E-3</v>
      </c>
      <c r="U164" s="35"/>
      <c r="V164" s="40"/>
      <c r="W164" s="3">
        <f>+'S&amp;M'!Q70</f>
        <v>43879.8</v>
      </c>
    </row>
    <row r="165" spans="1:23" s="3" customFormat="1" ht="25.4" customHeight="1">
      <c r="B165" s="51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U165" s="35"/>
      <c r="V165" s="40"/>
    </row>
    <row r="166" spans="1:23" s="3" customFormat="1" ht="25.4" customHeight="1">
      <c r="A166" s="254" t="s">
        <v>603</v>
      </c>
      <c r="B166" s="3" t="s">
        <v>1031</v>
      </c>
      <c r="D166" s="26" t="s">
        <v>309</v>
      </c>
      <c r="E166" s="43">
        <v>10372.44</v>
      </c>
      <c r="F166" s="43">
        <v>0</v>
      </c>
      <c r="G166" s="43">
        <v>0</v>
      </c>
      <c r="H166" s="43">
        <v>2491.02</v>
      </c>
      <c r="I166" s="43">
        <v>5186.2099999999991</v>
      </c>
      <c r="J166" s="43">
        <v>0</v>
      </c>
      <c r="K166" s="43">
        <v>0</v>
      </c>
      <c r="L166" s="43">
        <v>0</v>
      </c>
      <c r="M166" s="43">
        <v>0</v>
      </c>
      <c r="N166" s="43">
        <v>8303.4699999999993</v>
      </c>
      <c r="O166" s="43">
        <v>0</v>
      </c>
      <c r="P166" s="43">
        <v>0</v>
      </c>
      <c r="Q166" s="41">
        <f>SUM(E166:P166)</f>
        <v>26353.14</v>
      </c>
      <c r="R166" s="62">
        <v>4634.2</v>
      </c>
      <c r="S166" s="39">
        <f>Q166/Summary!$Q$16</f>
        <v>3.3086078659341783E-4</v>
      </c>
      <c r="T166" s="39">
        <f>Laundry!$S166</f>
        <v>3.3086078659341783E-4</v>
      </c>
      <c r="U166" s="35"/>
      <c r="V166" s="40"/>
    </row>
    <row r="167" spans="1:23" s="3" customFormat="1" ht="25.4" customHeight="1">
      <c r="A167" s="54" t="s">
        <v>310</v>
      </c>
      <c r="B167" s="3" t="s">
        <v>1031</v>
      </c>
      <c r="D167" s="26" t="s">
        <v>311</v>
      </c>
      <c r="E167" s="43">
        <v>470</v>
      </c>
      <c r="F167" s="43">
        <v>470</v>
      </c>
      <c r="G167" s="43">
        <v>470</v>
      </c>
      <c r="H167" s="43">
        <v>470</v>
      </c>
      <c r="I167" s="43">
        <v>470</v>
      </c>
      <c r="J167" s="43">
        <v>470</v>
      </c>
      <c r="K167" s="43">
        <v>470</v>
      </c>
      <c r="L167" s="43">
        <v>470</v>
      </c>
      <c r="M167" s="43">
        <v>470</v>
      </c>
      <c r="N167" s="43">
        <v>470</v>
      </c>
      <c r="O167" s="43">
        <v>470</v>
      </c>
      <c r="P167" s="43">
        <v>470</v>
      </c>
      <c r="Q167" s="41">
        <f>SUM(E167:P167)</f>
        <v>5640</v>
      </c>
      <c r="R167" s="62">
        <v>204251.35</v>
      </c>
      <c r="S167" s="39">
        <f>Q167/Summary!$Q$16</f>
        <v>7.0809582326313925E-5</v>
      </c>
      <c r="T167" s="39">
        <f>Laundry!$S167</f>
        <v>7.0809582326313925E-5</v>
      </c>
      <c r="U167" s="35"/>
      <c r="V167" s="40"/>
    </row>
    <row r="168" spans="1:23" s="3" customFormat="1" ht="25.4" customHeight="1">
      <c r="A168" s="254" t="s">
        <v>604</v>
      </c>
      <c r="B168" s="3" t="s">
        <v>1031</v>
      </c>
      <c r="D168" s="26" t="s">
        <v>313</v>
      </c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1">
        <f>SUM(E168:P168)</f>
        <v>0</v>
      </c>
      <c r="R168" s="62">
        <v>2900</v>
      </c>
      <c r="S168" s="39">
        <f>Q168/Summary!$Q$16</f>
        <v>0</v>
      </c>
      <c r="T168" s="39">
        <f>Laundry!$S168</f>
        <v>0</v>
      </c>
      <c r="U168" s="35"/>
      <c r="V168" s="40"/>
    </row>
    <row r="169" spans="1:23" s="3" customFormat="1" ht="25.4" customHeight="1">
      <c r="A169" s="254" t="s">
        <v>605</v>
      </c>
      <c r="B169" s="3" t="s">
        <v>1031</v>
      </c>
      <c r="D169" s="26" t="s">
        <v>315</v>
      </c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1">
        <f t="shared" ref="Q169:Q170" si="10">SUM(E169:P169)</f>
        <v>0</v>
      </c>
      <c r="R169" s="62">
        <v>8500</v>
      </c>
      <c r="S169" s="39">
        <f>Q169/Summary!$Q$16</f>
        <v>0</v>
      </c>
      <c r="T169" s="39">
        <f>Laundry!$S169</f>
        <v>0</v>
      </c>
      <c r="U169" s="35"/>
      <c r="V169" s="40"/>
    </row>
    <row r="170" spans="1:23" s="3" customFormat="1" ht="25.4" customHeight="1">
      <c r="A170" s="254" t="s">
        <v>606</v>
      </c>
      <c r="B170" s="3" t="s">
        <v>1031</v>
      </c>
      <c r="D170" s="26" t="s">
        <v>317</v>
      </c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1">
        <f t="shared" si="10"/>
        <v>0</v>
      </c>
      <c r="R170" s="63">
        <v>383509.26</v>
      </c>
      <c r="S170" s="39">
        <f>Q170/Summary!$Q$16</f>
        <v>0</v>
      </c>
      <c r="T170" s="39">
        <f>Laundry!$S170</f>
        <v>0</v>
      </c>
      <c r="U170" s="35"/>
      <c r="V170" s="40"/>
    </row>
    <row r="171" spans="1:23" s="3" customFormat="1" ht="25.4" customHeight="1">
      <c r="A171" s="254" t="s">
        <v>1066</v>
      </c>
      <c r="B171" s="3" t="s">
        <v>1031</v>
      </c>
      <c r="D171" s="26" t="s">
        <v>1069</v>
      </c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1">
        <f t="shared" ref="Q171:Q172" si="11">SUM(E171:P171)</f>
        <v>0</v>
      </c>
      <c r="R171" s="62">
        <v>8500</v>
      </c>
      <c r="S171" s="39">
        <f>Q171/Summary!$Q$16</f>
        <v>0</v>
      </c>
      <c r="T171" s="39">
        <f>Laundry!$S171</f>
        <v>0</v>
      </c>
      <c r="U171" s="35"/>
      <c r="V171" s="40"/>
    </row>
    <row r="172" spans="1:23" s="3" customFormat="1" ht="25.4" customHeight="1">
      <c r="A172" s="254" t="s">
        <v>1066</v>
      </c>
      <c r="B172" s="3" t="s">
        <v>1031</v>
      </c>
      <c r="D172" s="26" t="s">
        <v>1070</v>
      </c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1">
        <f t="shared" si="11"/>
        <v>0</v>
      </c>
      <c r="R172" s="63">
        <v>383509.26</v>
      </c>
      <c r="S172" s="39">
        <f>Q172/Summary!$Q$16</f>
        <v>0</v>
      </c>
      <c r="T172" s="39">
        <f>Laundry!$S172</f>
        <v>0</v>
      </c>
      <c r="U172" s="35"/>
      <c r="V172" s="40"/>
    </row>
    <row r="173" spans="1:23" s="19" customFormat="1" ht="25.4" customHeight="1">
      <c r="A173" s="54"/>
      <c r="B173" s="51"/>
      <c r="D173" s="19" t="s">
        <v>318</v>
      </c>
      <c r="E173" s="52">
        <f>SUM(E166:E172)</f>
        <v>10842.44</v>
      </c>
      <c r="F173" s="52">
        <f t="shared" ref="F173:P173" si="12">SUM(F166:F172)</f>
        <v>470</v>
      </c>
      <c r="G173" s="52">
        <f t="shared" si="12"/>
        <v>470</v>
      </c>
      <c r="H173" s="52">
        <f t="shared" si="12"/>
        <v>2961.02</v>
      </c>
      <c r="I173" s="52">
        <f t="shared" si="12"/>
        <v>5656.2099999999991</v>
      </c>
      <c r="J173" s="52">
        <f t="shared" si="12"/>
        <v>470</v>
      </c>
      <c r="K173" s="52">
        <f t="shared" si="12"/>
        <v>470</v>
      </c>
      <c r="L173" s="52">
        <f t="shared" si="12"/>
        <v>470</v>
      </c>
      <c r="M173" s="52">
        <f t="shared" si="12"/>
        <v>470</v>
      </c>
      <c r="N173" s="52">
        <f t="shared" si="12"/>
        <v>8773.4699999999993</v>
      </c>
      <c r="O173" s="52">
        <f t="shared" si="12"/>
        <v>470</v>
      </c>
      <c r="P173" s="52">
        <f t="shared" si="12"/>
        <v>470</v>
      </c>
      <c r="Q173" s="52">
        <f t="shared" ref="Q173" si="13">SUM(Q166:Q172)</f>
        <v>31993.14</v>
      </c>
      <c r="R173" s="52">
        <v>603794.81000000006</v>
      </c>
      <c r="S173" s="39">
        <f>Q173/Summary!$Q$16</f>
        <v>4.0167036891973175E-4</v>
      </c>
      <c r="T173" s="39">
        <f>Laundry!$S173</f>
        <v>4.0167036891973175E-4</v>
      </c>
      <c r="U173" s="35"/>
      <c r="V173" s="40"/>
    </row>
    <row r="174" spans="1:23" s="3" customFormat="1" ht="25.4" customHeight="1">
      <c r="A174" s="50"/>
      <c r="D174" s="19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U174" s="35"/>
      <c r="V174" s="40"/>
    </row>
    <row r="175" spans="1:23" s="3" customFormat="1" ht="25.4" customHeight="1">
      <c r="A175" s="254" t="s">
        <v>609</v>
      </c>
      <c r="B175" s="3" t="s">
        <v>1031</v>
      </c>
      <c r="D175" s="26" t="s">
        <v>320</v>
      </c>
      <c r="E175" s="43">
        <v>6199.5</v>
      </c>
      <c r="F175" s="43">
        <v>6199.5</v>
      </c>
      <c r="G175" s="43">
        <v>6199.5</v>
      </c>
      <c r="H175" s="43">
        <v>6199.5</v>
      </c>
      <c r="I175" s="43">
        <v>6199.5</v>
      </c>
      <c r="J175" s="43">
        <v>6199.5</v>
      </c>
      <c r="K175" s="43">
        <v>6199.5</v>
      </c>
      <c r="L175" s="43">
        <v>6199.5</v>
      </c>
      <c r="M175" s="43">
        <v>6199.5</v>
      </c>
      <c r="N175" s="43">
        <v>6199.5</v>
      </c>
      <c r="O175" s="43">
        <v>6199.5</v>
      </c>
      <c r="P175" s="43">
        <v>6199.5</v>
      </c>
      <c r="Q175" s="41">
        <f>SUM(E175:P175)</f>
        <v>74394</v>
      </c>
      <c r="R175" s="63">
        <v>164797.04999999999</v>
      </c>
      <c r="S175" s="39">
        <f>Q175/Summary!$Q$16</f>
        <v>9.3400852262124083E-4</v>
      </c>
      <c r="T175" s="39">
        <f>Laundry!$S175</f>
        <v>9.3400852262124083E-4</v>
      </c>
      <c r="U175" s="35"/>
      <c r="V175" s="40"/>
    </row>
    <row r="176" spans="1:23" s="3" customFormat="1" ht="25.4" customHeight="1">
      <c r="A176" s="254" t="s">
        <v>610</v>
      </c>
      <c r="B176" s="3" t="s">
        <v>1031</v>
      </c>
      <c r="D176" s="26" t="s">
        <v>322</v>
      </c>
      <c r="E176" s="43">
        <v>2303.4</v>
      </c>
      <c r="F176" s="43">
        <v>2303.4</v>
      </c>
      <c r="G176" s="43">
        <v>2303.4</v>
      </c>
      <c r="H176" s="43">
        <v>2303.4</v>
      </c>
      <c r="I176" s="43">
        <v>2303.4</v>
      </c>
      <c r="J176" s="43">
        <v>2303.4</v>
      </c>
      <c r="K176" s="43">
        <v>2303.4</v>
      </c>
      <c r="L176" s="43">
        <v>2303.4</v>
      </c>
      <c r="M176" s="43">
        <v>2303.4</v>
      </c>
      <c r="N176" s="43">
        <v>2303.4</v>
      </c>
      <c r="O176" s="43">
        <v>2303.4</v>
      </c>
      <c r="P176" s="43">
        <v>2303.4</v>
      </c>
      <c r="Q176" s="41">
        <f t="shared" ref="Q176:Q182" si="14">SUM(E176:P176)</f>
        <v>27640.800000000007</v>
      </c>
      <c r="R176" s="63">
        <v>124232.19</v>
      </c>
      <c r="S176" s="39">
        <f>Q176/Summary!$Q$16</f>
        <v>3.4702721687325858E-4</v>
      </c>
      <c r="T176" s="39">
        <f>Laundry!$S176</f>
        <v>3.4702721687325858E-4</v>
      </c>
      <c r="U176" s="35"/>
      <c r="V176" s="40"/>
    </row>
    <row r="177" spans="1:22" s="3" customFormat="1" ht="25.4" customHeight="1">
      <c r="A177" s="254" t="s">
        <v>611</v>
      </c>
      <c r="B177" s="3" t="s">
        <v>1031</v>
      </c>
      <c r="D177" s="26" t="s">
        <v>324</v>
      </c>
      <c r="E177" s="43">
        <v>300.79999999999995</v>
      </c>
      <c r="F177" s="43">
        <v>300.8</v>
      </c>
      <c r="G177" s="43">
        <v>300.8</v>
      </c>
      <c r="H177" s="43">
        <v>300.8</v>
      </c>
      <c r="I177" s="43">
        <v>300.8</v>
      </c>
      <c r="J177" s="43">
        <v>300.8</v>
      </c>
      <c r="K177" s="43">
        <v>300.8</v>
      </c>
      <c r="L177" s="43">
        <v>300.8</v>
      </c>
      <c r="M177" s="43">
        <v>300.8</v>
      </c>
      <c r="N177" s="43">
        <v>300.8</v>
      </c>
      <c r="O177" s="43">
        <v>300.8</v>
      </c>
      <c r="P177" s="43">
        <v>300.8</v>
      </c>
      <c r="Q177" s="41">
        <f t="shared" si="14"/>
        <v>3609.6000000000008</v>
      </c>
      <c r="R177" s="63">
        <v>6619.16</v>
      </c>
      <c r="S177" s="39">
        <f>Q177/Summary!$Q$16</f>
        <v>4.5318132688840921E-5</v>
      </c>
      <c r="T177" s="39">
        <f>Laundry!$S177</f>
        <v>4.5318132688840921E-5</v>
      </c>
      <c r="U177" s="35"/>
      <c r="V177" s="40"/>
    </row>
    <row r="178" spans="1:22" s="3" customFormat="1" ht="25.4" customHeight="1">
      <c r="A178" s="254" t="s">
        <v>612</v>
      </c>
      <c r="B178" s="3" t="s">
        <v>1031</v>
      </c>
      <c r="D178" s="26" t="s">
        <v>326</v>
      </c>
      <c r="E178" s="43">
        <v>150.39999999999998</v>
      </c>
      <c r="F178" s="43">
        <v>150.4</v>
      </c>
      <c r="G178" s="43">
        <v>150.4</v>
      </c>
      <c r="H178" s="43">
        <v>150.4</v>
      </c>
      <c r="I178" s="43">
        <v>150.4</v>
      </c>
      <c r="J178" s="43">
        <v>150.4</v>
      </c>
      <c r="K178" s="43">
        <v>150.4</v>
      </c>
      <c r="L178" s="43">
        <v>150.4</v>
      </c>
      <c r="M178" s="43">
        <v>150.4</v>
      </c>
      <c r="N178" s="43">
        <v>150.4</v>
      </c>
      <c r="O178" s="43">
        <v>150.4</v>
      </c>
      <c r="P178" s="43">
        <v>150.4</v>
      </c>
      <c r="Q178" s="41">
        <f t="shared" si="14"/>
        <v>1804.8000000000004</v>
      </c>
      <c r="R178" s="63">
        <v>3464.87</v>
      </c>
      <c r="S178" s="39">
        <f>Q178/Summary!$Q$16</f>
        <v>2.2659066344420461E-5</v>
      </c>
      <c r="T178" s="39">
        <f>Laundry!$S178</f>
        <v>2.2659066344420461E-5</v>
      </c>
      <c r="U178" s="35"/>
      <c r="V178" s="40"/>
    </row>
    <row r="179" spans="1:22" s="3" customFormat="1" ht="25.4" customHeight="1">
      <c r="A179" s="254" t="s">
        <v>613</v>
      </c>
      <c r="B179" s="3" t="s">
        <v>1031</v>
      </c>
      <c r="D179" s="26" t="s">
        <v>328</v>
      </c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1">
        <f t="shared" si="14"/>
        <v>0</v>
      </c>
      <c r="R179" s="63">
        <v>12935.92</v>
      </c>
      <c r="S179" s="39">
        <f>Q179/Summary!$Q$16</f>
        <v>0</v>
      </c>
      <c r="T179" s="39">
        <f>Laundry!$S179</f>
        <v>0</v>
      </c>
      <c r="U179" s="35"/>
      <c r="V179" s="40"/>
    </row>
    <row r="180" spans="1:22" s="3" customFormat="1" ht="25.4" customHeight="1">
      <c r="A180" s="254" t="s">
        <v>614</v>
      </c>
      <c r="B180" s="3" t="s">
        <v>1031</v>
      </c>
      <c r="D180" s="26" t="s">
        <v>330</v>
      </c>
      <c r="E180" s="43">
        <v>3008</v>
      </c>
      <c r="F180" s="43">
        <v>3008</v>
      </c>
      <c r="G180" s="43">
        <v>3008</v>
      </c>
      <c r="H180" s="43">
        <v>3008</v>
      </c>
      <c r="I180" s="43">
        <v>3008</v>
      </c>
      <c r="J180" s="43">
        <v>3008</v>
      </c>
      <c r="K180" s="43">
        <v>3008</v>
      </c>
      <c r="L180" s="43">
        <v>3008</v>
      </c>
      <c r="M180" s="43">
        <v>3008</v>
      </c>
      <c r="N180" s="43">
        <v>3008</v>
      </c>
      <c r="O180" s="43">
        <v>3008</v>
      </c>
      <c r="P180" s="43">
        <v>3008</v>
      </c>
      <c r="Q180" s="41">
        <f t="shared" si="14"/>
        <v>36096</v>
      </c>
      <c r="R180" s="63">
        <v>152860.15</v>
      </c>
      <c r="S180" s="39">
        <f>Q180/Summary!$Q$16</f>
        <v>4.5318132688840912E-4</v>
      </c>
      <c r="T180" s="39">
        <f>Laundry!$S180</f>
        <v>4.5318132688840912E-4</v>
      </c>
      <c r="U180" s="35"/>
      <c r="V180" s="40"/>
    </row>
    <row r="181" spans="1:22" s="3" customFormat="1" ht="25.4" customHeight="1">
      <c r="A181" s="254" t="s">
        <v>615</v>
      </c>
      <c r="B181" s="3" t="s">
        <v>1031</v>
      </c>
      <c r="D181" s="26" t="s">
        <v>332</v>
      </c>
      <c r="E181" s="43">
        <v>752</v>
      </c>
      <c r="F181" s="43">
        <v>752</v>
      </c>
      <c r="G181" s="43">
        <v>752</v>
      </c>
      <c r="H181" s="43">
        <v>752</v>
      </c>
      <c r="I181" s="43">
        <v>752</v>
      </c>
      <c r="J181" s="43">
        <v>752</v>
      </c>
      <c r="K181" s="43">
        <v>752</v>
      </c>
      <c r="L181" s="43">
        <v>752</v>
      </c>
      <c r="M181" s="43">
        <v>752</v>
      </c>
      <c r="N181" s="43">
        <v>752</v>
      </c>
      <c r="O181" s="43">
        <v>752</v>
      </c>
      <c r="P181" s="43">
        <v>752</v>
      </c>
      <c r="Q181" s="41">
        <f t="shared" si="14"/>
        <v>9024</v>
      </c>
      <c r="R181" s="63">
        <v>0</v>
      </c>
      <c r="S181" s="39">
        <f>Q181/Summary!$Q$16</f>
        <v>1.1329533172210228E-4</v>
      </c>
      <c r="T181" s="39">
        <f>Laundry!$S181</f>
        <v>1.1329533172210228E-4</v>
      </c>
      <c r="U181" s="35"/>
      <c r="V181" s="40"/>
    </row>
    <row r="182" spans="1:22" s="3" customFormat="1" ht="25.4" customHeight="1">
      <c r="A182" s="254" t="s">
        <v>616</v>
      </c>
      <c r="B182" s="3" t="s">
        <v>1031</v>
      </c>
      <c r="D182" s="26" t="s">
        <v>334</v>
      </c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1">
        <f t="shared" si="14"/>
        <v>0</v>
      </c>
      <c r="R182" s="63">
        <v>0</v>
      </c>
      <c r="S182" s="39">
        <f>Q182/Summary!$Q$16</f>
        <v>0</v>
      </c>
      <c r="T182" s="39">
        <f>Laundry!$S182</f>
        <v>0</v>
      </c>
      <c r="U182" s="35"/>
      <c r="V182" s="40"/>
    </row>
    <row r="183" spans="1:22" s="19" customFormat="1" ht="25.4" customHeight="1">
      <c r="A183" s="54"/>
      <c r="B183" s="51"/>
      <c r="D183" s="19" t="s">
        <v>335</v>
      </c>
      <c r="E183" s="45">
        <f>SUM(E175:E182)</f>
        <v>12714.099999999999</v>
      </c>
      <c r="F183" s="45">
        <f t="shared" ref="F183:P183" si="15">SUM(F175:F182)</f>
        <v>12714.099999999999</v>
      </c>
      <c r="G183" s="45">
        <f t="shared" si="15"/>
        <v>12714.099999999999</v>
      </c>
      <c r="H183" s="45">
        <f t="shared" si="15"/>
        <v>12714.099999999999</v>
      </c>
      <c r="I183" s="45">
        <f t="shared" si="15"/>
        <v>12714.099999999999</v>
      </c>
      <c r="J183" s="45">
        <f t="shared" si="15"/>
        <v>12714.099999999999</v>
      </c>
      <c r="K183" s="45">
        <f t="shared" si="15"/>
        <v>12714.099999999999</v>
      </c>
      <c r="L183" s="45">
        <f t="shared" si="15"/>
        <v>12714.099999999999</v>
      </c>
      <c r="M183" s="45">
        <f t="shared" si="15"/>
        <v>12714.099999999999</v>
      </c>
      <c r="N183" s="45">
        <f t="shared" si="15"/>
        <v>12714.099999999999</v>
      </c>
      <c r="O183" s="45">
        <f t="shared" si="15"/>
        <v>12714.099999999999</v>
      </c>
      <c r="P183" s="45">
        <f t="shared" si="15"/>
        <v>12714.099999999999</v>
      </c>
      <c r="Q183" s="45">
        <f t="shared" ref="Q183" si="16">SUM(Q175:Q182)</f>
        <v>152569.20000000001</v>
      </c>
      <c r="R183" s="45">
        <v>464909.34</v>
      </c>
      <c r="S183" s="39">
        <f>Q183/Summary!$Q$16</f>
        <v>1.9154895971382722E-3</v>
      </c>
      <c r="T183" s="39">
        <f>Laundry!$S183</f>
        <v>1.9154895971382722E-3</v>
      </c>
      <c r="U183" s="35"/>
      <c r="V183" s="40"/>
    </row>
    <row r="184" spans="1:22" s="19" customFormat="1" ht="25.4" customHeight="1">
      <c r="A184" s="54"/>
      <c r="B184" s="51"/>
      <c r="D184" s="21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U184" s="35"/>
      <c r="V184" s="40"/>
    </row>
    <row r="185" spans="1:22" s="3" customFormat="1" ht="25.4" customHeight="1">
      <c r="A185" s="254" t="s">
        <v>617</v>
      </c>
      <c r="B185" s="3" t="s">
        <v>1031</v>
      </c>
      <c r="D185" s="26" t="s">
        <v>337</v>
      </c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1">
        <f>SUM(E185:P185)</f>
        <v>0</v>
      </c>
      <c r="R185" s="63">
        <v>0</v>
      </c>
      <c r="U185" s="35"/>
      <c r="V185" s="40"/>
    </row>
    <row r="186" spans="1:22" s="3" customFormat="1" ht="25.4" customHeight="1">
      <c r="A186" s="254" t="s">
        <v>618</v>
      </c>
      <c r="B186" s="3" t="s">
        <v>1031</v>
      </c>
      <c r="D186" s="3" t="s">
        <v>339</v>
      </c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1">
        <f t="shared" ref="Q186:Q191" si="17">SUM(E186:P186)</f>
        <v>0</v>
      </c>
      <c r="R186" s="63">
        <v>0</v>
      </c>
      <c r="U186" s="35"/>
      <c r="V186" s="40"/>
    </row>
    <row r="187" spans="1:22" s="3" customFormat="1" ht="25.4" customHeight="1">
      <c r="A187" s="254" t="s">
        <v>619</v>
      </c>
      <c r="B187" s="3" t="s">
        <v>1031</v>
      </c>
      <c r="D187" s="26" t="s">
        <v>341</v>
      </c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1">
        <f t="shared" si="17"/>
        <v>0</v>
      </c>
      <c r="R187" s="63">
        <v>0</v>
      </c>
      <c r="U187" s="35"/>
      <c r="V187" s="40"/>
    </row>
    <row r="188" spans="1:22" s="3" customFormat="1" ht="25.4" customHeight="1">
      <c r="A188" s="254" t="s">
        <v>620</v>
      </c>
      <c r="B188" s="3" t="s">
        <v>1031</v>
      </c>
      <c r="D188" s="26" t="s">
        <v>343</v>
      </c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1">
        <f t="shared" si="17"/>
        <v>0</v>
      </c>
      <c r="R188" s="63">
        <v>0</v>
      </c>
      <c r="U188" s="35"/>
      <c r="V188" s="40"/>
    </row>
    <row r="189" spans="1:22" s="3" customFormat="1" ht="25.4" customHeight="1">
      <c r="A189" s="254" t="s">
        <v>621</v>
      </c>
      <c r="B189" s="3" t="s">
        <v>1031</v>
      </c>
      <c r="D189" s="26" t="s">
        <v>345</v>
      </c>
      <c r="E189" s="43">
        <v>480</v>
      </c>
      <c r="F189" s="43">
        <v>640</v>
      </c>
      <c r="G189" s="43">
        <v>480</v>
      </c>
      <c r="H189" s="43">
        <v>480</v>
      </c>
      <c r="I189" s="43">
        <v>480</v>
      </c>
      <c r="J189" s="43">
        <v>480</v>
      </c>
      <c r="K189" s="43">
        <v>480</v>
      </c>
      <c r="L189" s="43">
        <v>480</v>
      </c>
      <c r="M189" s="43">
        <v>480</v>
      </c>
      <c r="N189" s="43">
        <v>480</v>
      </c>
      <c r="O189" s="43">
        <v>480</v>
      </c>
      <c r="P189" s="43">
        <v>480</v>
      </c>
      <c r="Q189" s="41">
        <f t="shared" si="17"/>
        <v>5920</v>
      </c>
      <c r="R189" s="63">
        <v>30799.71</v>
      </c>
      <c r="S189" s="39">
        <f>Q189/Summary!$Q$16</f>
        <v>7.4324951661662846E-5</v>
      </c>
      <c r="T189" s="39">
        <f>Laundry!$S189</f>
        <v>7.4324951661662846E-5</v>
      </c>
      <c r="U189" s="35"/>
      <c r="V189" s="40"/>
    </row>
    <row r="190" spans="1:22" s="3" customFormat="1" ht="25.4" customHeight="1">
      <c r="A190" s="254" t="s">
        <v>346</v>
      </c>
      <c r="B190" s="3" t="s">
        <v>1031</v>
      </c>
      <c r="D190" s="26" t="s">
        <v>347</v>
      </c>
      <c r="E190" s="43">
        <v>2845.84</v>
      </c>
      <c r="F190" s="43">
        <v>2834.64</v>
      </c>
      <c r="G190" s="43">
        <v>2823.52</v>
      </c>
      <c r="H190" s="43">
        <v>2812.48</v>
      </c>
      <c r="I190" s="43">
        <v>2737.68</v>
      </c>
      <c r="J190" s="43">
        <v>2696.64</v>
      </c>
      <c r="K190" s="43">
        <v>2647.0400000000004</v>
      </c>
      <c r="L190" s="43">
        <v>2647.0400000000004</v>
      </c>
      <c r="M190" s="43">
        <v>2627.76</v>
      </c>
      <c r="N190" s="43">
        <v>2608.7199999999998</v>
      </c>
      <c r="O190" s="43">
        <v>2599.2800000000002</v>
      </c>
      <c r="P190" s="43">
        <v>2589.92</v>
      </c>
      <c r="Q190" s="41">
        <f t="shared" si="17"/>
        <v>32470.559999999998</v>
      </c>
      <c r="R190" s="63">
        <v>0</v>
      </c>
      <c r="S190" s="39">
        <f>Q190/Summary!$Q$16</f>
        <v>4.0766432473431129E-4</v>
      </c>
      <c r="T190" s="39">
        <f>Laundry!$S190</f>
        <v>4.0766432473431129E-4</v>
      </c>
      <c r="U190" s="35"/>
      <c r="V190" s="40"/>
    </row>
    <row r="191" spans="1:22" s="3" customFormat="1" ht="25.4" customHeight="1">
      <c r="A191" s="3" t="s">
        <v>624</v>
      </c>
      <c r="B191" s="3" t="s">
        <v>1031</v>
      </c>
      <c r="D191" s="26" t="s">
        <v>349</v>
      </c>
      <c r="E191" s="43">
        <v>8426</v>
      </c>
      <c r="F191" s="43">
        <v>8287.1200000000008</v>
      </c>
      <c r="G191" s="43">
        <v>8178.8799999999992</v>
      </c>
      <c r="H191" s="43">
        <v>8215.8399999999983</v>
      </c>
      <c r="I191" s="43">
        <v>8049.36</v>
      </c>
      <c r="J191" s="43">
        <v>7908.8799999999992</v>
      </c>
      <c r="K191" s="43">
        <v>7845.04</v>
      </c>
      <c r="L191" s="43">
        <v>7859.36</v>
      </c>
      <c r="M191" s="43">
        <v>7891.1999999999989</v>
      </c>
      <c r="N191" s="43">
        <v>7949.68</v>
      </c>
      <c r="O191" s="43">
        <v>7852.64</v>
      </c>
      <c r="P191" s="43">
        <v>7827.36</v>
      </c>
      <c r="Q191" s="41">
        <f t="shared" si="17"/>
        <v>96291.359999999986</v>
      </c>
      <c r="R191" s="63">
        <v>119563.26</v>
      </c>
      <c r="S191" s="39">
        <f>Q191/Summary!$Q$16</f>
        <v>1.2089274792965834E-3</v>
      </c>
      <c r="T191" s="39">
        <f>Laundry!$S191</f>
        <v>1.2089274792965834E-3</v>
      </c>
      <c r="U191" s="35"/>
      <c r="V191" s="40"/>
    </row>
    <row r="192" spans="1:22" s="3" customFormat="1" ht="25.4" customHeight="1">
      <c r="A192" s="54"/>
      <c r="B192" s="51"/>
      <c r="D192" s="19" t="s">
        <v>350</v>
      </c>
      <c r="E192" s="52">
        <f>SUM(E185:E191)</f>
        <v>11751.84</v>
      </c>
      <c r="F192" s="52">
        <f t="shared" ref="F192:P192" si="18">SUM(F185:F191)</f>
        <v>11761.76</v>
      </c>
      <c r="G192" s="52">
        <f t="shared" si="18"/>
        <v>11482.4</v>
      </c>
      <c r="H192" s="52">
        <f t="shared" si="18"/>
        <v>11508.319999999998</v>
      </c>
      <c r="I192" s="52">
        <f t="shared" si="18"/>
        <v>11267.039999999999</v>
      </c>
      <c r="J192" s="52">
        <f t="shared" si="18"/>
        <v>11085.519999999999</v>
      </c>
      <c r="K192" s="52">
        <f t="shared" si="18"/>
        <v>10972.08</v>
      </c>
      <c r="L192" s="52">
        <f t="shared" si="18"/>
        <v>10986.4</v>
      </c>
      <c r="M192" s="52">
        <f t="shared" si="18"/>
        <v>10998.96</v>
      </c>
      <c r="N192" s="52">
        <f t="shared" si="18"/>
        <v>11038.4</v>
      </c>
      <c r="O192" s="52">
        <f t="shared" si="18"/>
        <v>10931.92</v>
      </c>
      <c r="P192" s="52">
        <f t="shared" si="18"/>
        <v>10897.279999999999</v>
      </c>
      <c r="Q192" s="52">
        <f t="shared" ref="Q192" si="19">SUM(Q185:Q191)</f>
        <v>134681.91999999998</v>
      </c>
      <c r="R192" s="52">
        <v>150362.97</v>
      </c>
      <c r="S192" s="39">
        <f>Q192/Summary!$Q$16</f>
        <v>1.6909167556925576E-3</v>
      </c>
      <c r="T192" s="39">
        <f>Laundry!$S192</f>
        <v>1.6909167556925576E-3</v>
      </c>
      <c r="U192" s="35"/>
      <c r="V192" s="40"/>
    </row>
    <row r="193" spans="1:22" s="3" customFormat="1" ht="25.4" customHeight="1">
      <c r="A193" s="54"/>
      <c r="B193" s="51"/>
      <c r="D193" s="19" t="s">
        <v>351</v>
      </c>
      <c r="E193" s="52">
        <f>E164+E173+E183+E192</f>
        <v>72908.38</v>
      </c>
      <c r="F193" s="52">
        <f t="shared" ref="F193:P193" si="20">F164+F173+F183+F192</f>
        <v>62545.86</v>
      </c>
      <c r="G193" s="52">
        <f t="shared" si="20"/>
        <v>62266.5</v>
      </c>
      <c r="H193" s="52">
        <f t="shared" si="20"/>
        <v>64783.439999999995</v>
      </c>
      <c r="I193" s="52">
        <f t="shared" si="20"/>
        <v>67237.349999999991</v>
      </c>
      <c r="J193" s="52">
        <f t="shared" si="20"/>
        <v>61869.619999999995</v>
      </c>
      <c r="K193" s="52">
        <f t="shared" si="20"/>
        <v>61756.18</v>
      </c>
      <c r="L193" s="52">
        <f t="shared" si="20"/>
        <v>61770.5</v>
      </c>
      <c r="M193" s="52">
        <f t="shared" si="20"/>
        <v>61783.06</v>
      </c>
      <c r="N193" s="52">
        <f t="shared" si="20"/>
        <v>70125.97</v>
      </c>
      <c r="O193" s="52">
        <f t="shared" si="20"/>
        <v>61716.02</v>
      </c>
      <c r="P193" s="52">
        <f t="shared" si="20"/>
        <v>61681.38</v>
      </c>
      <c r="Q193" s="52">
        <f t="shared" ref="Q193" si="21">Q164+Q173+Q183+Q192</f>
        <v>770444.26</v>
      </c>
      <c r="R193" s="52">
        <v>2684249.12</v>
      </c>
      <c r="S193" s="39">
        <f>Q193/Summary!$Q$16</f>
        <v>9.6728433078556754E-3</v>
      </c>
      <c r="T193" s="39">
        <f>Laundry!$S193</f>
        <v>9.6728433078556754E-3</v>
      </c>
      <c r="U193" s="35"/>
      <c r="V193" s="40"/>
    </row>
    <row r="194" spans="1:22" s="3" customFormat="1" ht="25.4" customHeight="1">
      <c r="A194" s="54"/>
      <c r="B194" s="51"/>
      <c r="D194" s="21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U194" s="35"/>
      <c r="V194" s="40"/>
    </row>
    <row r="195" spans="1:22" s="19" customFormat="1" ht="24.75" customHeight="1">
      <c r="A195" s="255" t="s">
        <v>108</v>
      </c>
      <c r="B195" s="3" t="s">
        <v>1031</v>
      </c>
      <c r="D195" s="19" t="s">
        <v>354</v>
      </c>
      <c r="E195" s="278">
        <v>8</v>
      </c>
      <c r="F195" s="278">
        <v>8</v>
      </c>
      <c r="G195" s="278">
        <v>8</v>
      </c>
      <c r="H195" s="278">
        <v>8</v>
      </c>
      <c r="I195" s="278">
        <v>8</v>
      </c>
      <c r="J195" s="278">
        <v>8</v>
      </c>
      <c r="K195" s="278">
        <v>8</v>
      </c>
      <c r="L195" s="278">
        <v>8</v>
      </c>
      <c r="M195" s="278">
        <v>8</v>
      </c>
      <c r="N195" s="278">
        <v>8</v>
      </c>
      <c r="O195" s="278">
        <v>8</v>
      </c>
      <c r="P195" s="278">
        <v>8</v>
      </c>
      <c r="Q195" s="27">
        <f>SUM(E195:P195)/12</f>
        <v>8</v>
      </c>
      <c r="R195" s="65">
        <v>12.6666666666667</v>
      </c>
      <c r="U195" s="35">
        <f>Laundry!$Q195</f>
        <v>8</v>
      </c>
      <c r="V195" s="40"/>
    </row>
    <row r="196" spans="1:22" ht="25.4" hidden="1" customHeight="1">
      <c r="A196" s="257" t="s">
        <v>1024</v>
      </c>
      <c r="B196" s="57"/>
      <c r="D196" s="26" t="s">
        <v>1192</v>
      </c>
      <c r="E196" s="59">
        <f>+Summary!E16</f>
        <v>6138361.2000000002</v>
      </c>
      <c r="F196" s="59">
        <f>+Summary!F16</f>
        <v>7857677.5</v>
      </c>
      <c r="G196" s="59">
        <f>+Summary!G16</f>
        <v>5506627.5999999996</v>
      </c>
      <c r="H196" s="59">
        <f>+Summary!H16</f>
        <v>5203677.4000000004</v>
      </c>
      <c r="I196" s="59">
        <f>+Summary!I16</f>
        <v>6779121.9000000004</v>
      </c>
      <c r="J196" s="59">
        <f>+Summary!J16</f>
        <v>5436425.5</v>
      </c>
      <c r="K196" s="59">
        <f>+Summary!K16</f>
        <v>7371067.5999999996</v>
      </c>
      <c r="L196" s="59">
        <f>+Summary!L16</f>
        <v>7586440.5999999996</v>
      </c>
      <c r="M196" s="59">
        <f>+Summary!M16</f>
        <v>4900169</v>
      </c>
      <c r="N196" s="59">
        <f>+Summary!N16</f>
        <v>8295037.7000000002</v>
      </c>
      <c r="O196" s="59">
        <f>+Summary!O16</f>
        <v>7041192.2000000002</v>
      </c>
      <c r="P196" s="59">
        <f>+Summary!P16</f>
        <v>7534438.5999999996</v>
      </c>
      <c r="Q196" s="59">
        <f>SUM(E196:P196)</f>
        <v>79650236.799999997</v>
      </c>
      <c r="R196" s="3"/>
      <c r="T196" s="35"/>
      <c r="U196" s="40" t="e">
        <f>IF(Q196-T196=0,0,(Q196-T196)/T196)</f>
        <v>#DIV/0!</v>
      </c>
    </row>
    <row r="197" spans="1:22" ht="24.75" customHeight="1">
      <c r="A197" s="257"/>
      <c r="B197" s="57"/>
      <c r="D197" s="19" t="s">
        <v>1215</v>
      </c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60">
        <f>SUM(E197:P197)/12</f>
        <v>0</v>
      </c>
      <c r="R197" s="66"/>
      <c r="U197" s="35"/>
      <c r="V197" s="40"/>
    </row>
    <row r="198" spans="1:22" ht="26.25" customHeight="1">
      <c r="D198" s="64"/>
      <c r="J198" s="7"/>
      <c r="K198" s="7"/>
      <c r="L198" s="7"/>
      <c r="M198" s="7"/>
      <c r="N198" s="7"/>
      <c r="O198" s="7"/>
      <c r="P198" s="7"/>
      <c r="U198" s="35"/>
      <c r="V198" s="40"/>
    </row>
    <row r="199" spans="1:22" ht="26.25" customHeight="1">
      <c r="D199" s="64"/>
      <c r="J199" s="7"/>
      <c r="K199" s="7"/>
      <c r="L199" s="7"/>
      <c r="M199" s="7"/>
      <c r="N199" s="7"/>
      <c r="O199" s="7"/>
      <c r="P199" s="231" t="s">
        <v>1060</v>
      </c>
      <c r="Q199" s="232">
        <f>+Q164+Q173</f>
        <v>483193.14</v>
      </c>
      <c r="U199" s="35"/>
      <c r="V199" s="40"/>
    </row>
    <row r="200" spans="1:22" ht="26.25" customHeight="1">
      <c r="J200" s="7"/>
      <c r="K200" s="7"/>
      <c r="L200" s="7"/>
      <c r="M200" s="7"/>
      <c r="N200" s="7"/>
      <c r="O200" s="7"/>
      <c r="P200" s="231" t="s">
        <v>788</v>
      </c>
      <c r="Q200" s="232">
        <f>+Q183+Q192</f>
        <v>287251.12</v>
      </c>
      <c r="U200" s="35"/>
      <c r="V200" s="40"/>
    </row>
    <row r="201" spans="1:22" ht="26.25" customHeight="1">
      <c r="J201" s="7"/>
      <c r="K201" s="7"/>
      <c r="L201" s="7"/>
      <c r="M201" s="7"/>
      <c r="N201" s="7"/>
      <c r="O201" s="7"/>
      <c r="P201" s="7"/>
      <c r="Q201" s="5">
        <f>+Q199+Q200-Q193</f>
        <v>0</v>
      </c>
      <c r="U201" s="35"/>
      <c r="V201" s="40"/>
    </row>
    <row r="202" spans="1:22" ht="26.25" customHeight="1">
      <c r="J202" s="7"/>
      <c r="K202" s="7"/>
      <c r="L202" s="7"/>
      <c r="M202" s="7"/>
      <c r="N202" s="7"/>
      <c r="O202" s="7"/>
      <c r="P202" s="7"/>
      <c r="U202" s="35"/>
      <c r="V202" s="40"/>
    </row>
    <row r="203" spans="1:22" ht="26.25" hidden="1" customHeight="1">
      <c r="D203" s="64" t="s">
        <v>1325</v>
      </c>
      <c r="J203" s="7"/>
      <c r="K203" s="7"/>
      <c r="L203" s="7"/>
      <c r="M203" s="7"/>
      <c r="N203" s="7"/>
      <c r="O203" s="7"/>
      <c r="P203" s="7"/>
      <c r="U203" s="35"/>
      <c r="V203" s="40"/>
    </row>
    <row r="204" spans="1:22" ht="26.25" hidden="1" customHeight="1">
      <c r="D204" s="64" t="s">
        <v>1304</v>
      </c>
      <c r="E204" s="402">
        <v>20</v>
      </c>
      <c r="F204" s="402">
        <v>20</v>
      </c>
      <c r="G204" s="402">
        <v>20</v>
      </c>
      <c r="H204" s="402">
        <v>20</v>
      </c>
      <c r="I204" s="402">
        <v>20</v>
      </c>
      <c r="J204" s="402">
        <v>20</v>
      </c>
      <c r="K204" s="402">
        <v>20</v>
      </c>
      <c r="L204" s="402">
        <v>20</v>
      </c>
      <c r="M204" s="402">
        <v>20</v>
      </c>
      <c r="N204" s="402">
        <v>20</v>
      </c>
      <c r="O204" s="402">
        <v>20</v>
      </c>
      <c r="P204" s="402">
        <v>20</v>
      </c>
      <c r="U204" s="35"/>
      <c r="V204" s="40"/>
    </row>
    <row r="205" spans="1:22" ht="26.25" hidden="1" customHeight="1">
      <c r="D205" s="64" t="s">
        <v>1305</v>
      </c>
      <c r="E205" s="402">
        <v>48</v>
      </c>
      <c r="F205" s="402">
        <v>49</v>
      </c>
      <c r="G205" s="402">
        <v>47</v>
      </c>
      <c r="H205" s="402">
        <v>47</v>
      </c>
      <c r="I205" s="402">
        <v>48</v>
      </c>
      <c r="J205" s="402">
        <v>47</v>
      </c>
      <c r="K205" s="402">
        <v>51</v>
      </c>
      <c r="L205" s="402">
        <v>52</v>
      </c>
      <c r="M205" s="402">
        <v>46</v>
      </c>
      <c r="N205" s="402">
        <v>49</v>
      </c>
      <c r="O205" s="402">
        <v>48</v>
      </c>
      <c r="P205" s="402">
        <v>49</v>
      </c>
      <c r="U205" s="35"/>
      <c r="V205" s="40"/>
    </row>
    <row r="206" spans="1:22" ht="26.25" hidden="1" customHeight="1">
      <c r="D206" s="64" t="s">
        <v>1306</v>
      </c>
      <c r="E206" s="402">
        <v>5</v>
      </c>
      <c r="F206" s="402">
        <v>5</v>
      </c>
      <c r="G206" s="402">
        <v>5</v>
      </c>
      <c r="H206" s="402">
        <v>5</v>
      </c>
      <c r="I206" s="402">
        <v>5</v>
      </c>
      <c r="J206" s="402">
        <v>5</v>
      </c>
      <c r="K206" s="402">
        <v>5</v>
      </c>
      <c r="L206" s="402">
        <v>5</v>
      </c>
      <c r="M206" s="402">
        <v>5</v>
      </c>
      <c r="N206" s="402">
        <v>5</v>
      </c>
      <c r="O206" s="402">
        <v>5</v>
      </c>
      <c r="P206" s="402">
        <v>5</v>
      </c>
      <c r="U206" s="35"/>
      <c r="V206" s="40"/>
    </row>
    <row r="207" spans="1:22" ht="26.25" hidden="1" customHeight="1">
      <c r="D207" s="64" t="s">
        <v>1307</v>
      </c>
      <c r="E207" s="402">
        <v>2</v>
      </c>
      <c r="F207" s="402">
        <v>2</v>
      </c>
      <c r="G207" s="402">
        <v>2</v>
      </c>
      <c r="H207" s="402">
        <v>2</v>
      </c>
      <c r="I207" s="402">
        <v>2</v>
      </c>
      <c r="J207" s="402">
        <v>2</v>
      </c>
      <c r="K207" s="402">
        <v>2</v>
      </c>
      <c r="L207" s="402">
        <v>2</v>
      </c>
      <c r="M207" s="402">
        <v>2</v>
      </c>
      <c r="N207" s="402">
        <v>2</v>
      </c>
      <c r="O207" s="402">
        <v>2</v>
      </c>
      <c r="P207" s="402">
        <v>2</v>
      </c>
      <c r="U207" s="35"/>
      <c r="V207" s="40"/>
    </row>
    <row r="208" spans="1:22" ht="26.25" hidden="1" customHeight="1">
      <c r="D208" s="64" t="s">
        <v>1308</v>
      </c>
      <c r="E208" s="402">
        <v>2</v>
      </c>
      <c r="F208" s="402">
        <v>2</v>
      </c>
      <c r="G208" s="402">
        <v>2</v>
      </c>
      <c r="H208" s="402">
        <v>2</v>
      </c>
      <c r="I208" s="402">
        <v>2</v>
      </c>
      <c r="J208" s="402">
        <v>2</v>
      </c>
      <c r="K208" s="402">
        <v>2</v>
      </c>
      <c r="L208" s="402">
        <v>2</v>
      </c>
      <c r="M208" s="402">
        <v>2</v>
      </c>
      <c r="N208" s="402">
        <v>2</v>
      </c>
      <c r="O208" s="402">
        <v>2</v>
      </c>
      <c r="P208" s="402">
        <v>2</v>
      </c>
      <c r="U208" s="35"/>
      <c r="V208" s="40"/>
    </row>
    <row r="209" spans="4:22" ht="26.25" hidden="1" customHeight="1">
      <c r="D209" s="64" t="s">
        <v>1309</v>
      </c>
      <c r="E209" s="402">
        <v>36</v>
      </c>
      <c r="F209" s="402">
        <v>36</v>
      </c>
      <c r="G209" s="402">
        <v>36</v>
      </c>
      <c r="H209" s="402">
        <v>36</v>
      </c>
      <c r="I209" s="402">
        <v>36</v>
      </c>
      <c r="J209" s="402">
        <v>39</v>
      </c>
      <c r="K209" s="402">
        <v>39</v>
      </c>
      <c r="L209" s="402">
        <v>39</v>
      </c>
      <c r="M209" s="402">
        <v>39</v>
      </c>
      <c r="N209" s="402">
        <v>39</v>
      </c>
      <c r="O209" s="402">
        <v>40</v>
      </c>
      <c r="P209" s="402">
        <v>40</v>
      </c>
      <c r="U209" s="35"/>
      <c r="V209" s="40"/>
    </row>
    <row r="210" spans="4:22" ht="26.25" hidden="1" customHeight="1">
      <c r="D210" s="64" t="s">
        <v>1310</v>
      </c>
      <c r="E210" s="402">
        <v>37</v>
      </c>
      <c r="F210" s="402">
        <v>46</v>
      </c>
      <c r="G210" s="402">
        <v>35</v>
      </c>
      <c r="H210" s="402">
        <v>38</v>
      </c>
      <c r="I210" s="402">
        <v>37</v>
      </c>
      <c r="J210" s="402">
        <v>39</v>
      </c>
      <c r="K210" s="402">
        <v>41</v>
      </c>
      <c r="L210" s="402">
        <v>43</v>
      </c>
      <c r="M210" s="402">
        <v>50</v>
      </c>
      <c r="N210" s="402">
        <v>35</v>
      </c>
      <c r="O210" s="402">
        <v>36</v>
      </c>
      <c r="P210" s="402">
        <v>37</v>
      </c>
      <c r="U210" s="35"/>
      <c r="V210" s="40"/>
    </row>
    <row r="211" spans="4:22" ht="26.25" hidden="1" customHeight="1">
      <c r="D211" s="64" t="s">
        <v>1311</v>
      </c>
      <c r="E211" s="402">
        <v>24</v>
      </c>
      <c r="F211" s="402">
        <v>30</v>
      </c>
      <c r="G211" s="402">
        <v>22</v>
      </c>
      <c r="H211" s="402">
        <v>24</v>
      </c>
      <c r="I211" s="402">
        <v>24</v>
      </c>
      <c r="J211" s="402">
        <v>25</v>
      </c>
      <c r="K211" s="402">
        <v>29</v>
      </c>
      <c r="L211" s="402">
        <v>31</v>
      </c>
      <c r="M211" s="402">
        <v>36</v>
      </c>
      <c r="N211" s="402">
        <v>24</v>
      </c>
      <c r="O211" s="402">
        <v>25</v>
      </c>
      <c r="P211" s="402">
        <v>26</v>
      </c>
      <c r="U211" s="35"/>
      <c r="V211" s="40"/>
    </row>
    <row r="212" spans="4:22" ht="26.25" hidden="1" customHeight="1">
      <c r="D212" s="64" t="s">
        <v>1312</v>
      </c>
      <c r="E212" s="402">
        <v>23</v>
      </c>
      <c r="F212" s="402">
        <v>5</v>
      </c>
      <c r="G212" s="402">
        <v>28</v>
      </c>
      <c r="H212" s="402">
        <v>23</v>
      </c>
      <c r="I212" s="402">
        <v>33</v>
      </c>
      <c r="J212" s="402">
        <v>31</v>
      </c>
      <c r="K212" s="402">
        <v>28</v>
      </c>
      <c r="L212" s="402">
        <v>21</v>
      </c>
      <c r="M212" s="402">
        <v>9</v>
      </c>
      <c r="N212" s="402">
        <v>42</v>
      </c>
      <c r="O212" s="402">
        <v>45</v>
      </c>
      <c r="P212" s="402">
        <v>43</v>
      </c>
      <c r="U212" s="35"/>
      <c r="V212" s="40"/>
    </row>
    <row r="213" spans="4:22" ht="26.25" hidden="1" customHeight="1">
      <c r="D213" s="64" t="s">
        <v>1313</v>
      </c>
      <c r="E213" s="402">
        <v>3</v>
      </c>
      <c r="F213" s="402">
        <v>3</v>
      </c>
      <c r="G213" s="402">
        <v>3</v>
      </c>
      <c r="H213" s="402">
        <v>3</v>
      </c>
      <c r="I213" s="402">
        <v>3</v>
      </c>
      <c r="J213" s="402">
        <v>3</v>
      </c>
      <c r="K213" s="402">
        <v>3</v>
      </c>
      <c r="L213" s="402">
        <v>3</v>
      </c>
      <c r="M213" s="402">
        <v>3</v>
      </c>
      <c r="N213" s="402">
        <v>3</v>
      </c>
      <c r="O213" s="402">
        <v>3</v>
      </c>
      <c r="P213" s="402">
        <v>3</v>
      </c>
      <c r="U213" s="35"/>
      <c r="V213" s="40"/>
    </row>
    <row r="214" spans="4:22" ht="26.25" hidden="1" customHeight="1">
      <c r="D214" s="64" t="s">
        <v>1314</v>
      </c>
      <c r="E214" s="402">
        <v>18</v>
      </c>
      <c r="F214" s="402">
        <v>17</v>
      </c>
      <c r="G214" s="402">
        <v>19</v>
      </c>
      <c r="H214" s="402">
        <v>19</v>
      </c>
      <c r="I214" s="402">
        <v>19</v>
      </c>
      <c r="J214" s="402">
        <v>18</v>
      </c>
      <c r="K214" s="402">
        <v>18</v>
      </c>
      <c r="L214" s="402">
        <v>18</v>
      </c>
      <c r="M214" s="402">
        <v>18</v>
      </c>
      <c r="N214" s="402">
        <v>20</v>
      </c>
      <c r="O214" s="402">
        <v>20</v>
      </c>
      <c r="P214" s="402">
        <v>20</v>
      </c>
      <c r="U214" s="35"/>
      <c r="V214" s="40"/>
    </row>
    <row r="215" spans="4:22" ht="26.25" hidden="1" customHeight="1">
      <c r="D215" s="64" t="s">
        <v>1315</v>
      </c>
      <c r="E215" s="402">
        <v>9</v>
      </c>
      <c r="F215" s="402">
        <v>9</v>
      </c>
      <c r="G215" s="402">
        <v>9</v>
      </c>
      <c r="H215" s="402">
        <v>10</v>
      </c>
      <c r="I215" s="402">
        <v>12</v>
      </c>
      <c r="J215" s="402">
        <v>12</v>
      </c>
      <c r="K215" s="402">
        <v>12</v>
      </c>
      <c r="L215" s="402">
        <v>12</v>
      </c>
      <c r="M215" s="402">
        <v>12</v>
      </c>
      <c r="N215" s="402">
        <v>12</v>
      </c>
      <c r="O215" s="402">
        <v>9</v>
      </c>
      <c r="P215" s="402">
        <v>9</v>
      </c>
      <c r="U215" s="35"/>
      <c r="V215" s="40"/>
    </row>
    <row r="216" spans="4:22" ht="26.25" hidden="1" customHeight="1">
      <c r="D216" s="64" t="s">
        <v>1316</v>
      </c>
      <c r="E216" s="402">
        <v>5</v>
      </c>
      <c r="F216" s="402">
        <v>5</v>
      </c>
      <c r="G216" s="402">
        <v>5</v>
      </c>
      <c r="H216" s="402">
        <v>5</v>
      </c>
      <c r="I216" s="402">
        <v>5</v>
      </c>
      <c r="J216" s="402">
        <v>5</v>
      </c>
      <c r="K216" s="402">
        <v>5</v>
      </c>
      <c r="L216" s="402">
        <v>5</v>
      </c>
      <c r="M216" s="402">
        <v>5</v>
      </c>
      <c r="N216" s="402">
        <v>5</v>
      </c>
      <c r="O216" s="402">
        <v>5</v>
      </c>
      <c r="P216" s="402">
        <v>5</v>
      </c>
      <c r="U216" s="35"/>
      <c r="V216" s="40"/>
    </row>
    <row r="217" spans="4:22" ht="26.25" hidden="1" customHeight="1">
      <c r="D217" s="64" t="s">
        <v>1318</v>
      </c>
      <c r="E217" s="402">
        <v>14</v>
      </c>
      <c r="F217" s="402">
        <v>14</v>
      </c>
      <c r="G217" s="402">
        <v>14</v>
      </c>
      <c r="H217" s="402">
        <v>14</v>
      </c>
      <c r="I217" s="402">
        <v>14</v>
      </c>
      <c r="J217" s="402">
        <v>14</v>
      </c>
      <c r="K217" s="402">
        <v>14</v>
      </c>
      <c r="L217" s="402">
        <v>14</v>
      </c>
      <c r="M217" s="402">
        <v>14</v>
      </c>
      <c r="N217" s="402">
        <v>14</v>
      </c>
      <c r="O217" s="402">
        <v>14</v>
      </c>
      <c r="P217" s="402">
        <v>14</v>
      </c>
      <c r="U217" s="35"/>
      <c r="V217" s="40"/>
    </row>
    <row r="218" spans="4:22" ht="26.25" hidden="1" customHeight="1">
      <c r="D218" s="64" t="s">
        <v>1319</v>
      </c>
      <c r="E218" s="402">
        <v>8</v>
      </c>
      <c r="F218" s="402">
        <v>8</v>
      </c>
      <c r="G218" s="402">
        <v>8</v>
      </c>
      <c r="H218" s="402">
        <v>8</v>
      </c>
      <c r="I218" s="402">
        <v>8</v>
      </c>
      <c r="J218" s="402">
        <v>8</v>
      </c>
      <c r="K218" s="402">
        <v>8</v>
      </c>
      <c r="L218" s="402">
        <v>8</v>
      </c>
      <c r="M218" s="402">
        <v>8</v>
      </c>
      <c r="N218" s="402">
        <v>8</v>
      </c>
      <c r="O218" s="402">
        <v>8</v>
      </c>
      <c r="P218" s="402">
        <v>8</v>
      </c>
      <c r="U218" s="35"/>
      <c r="V218" s="40"/>
    </row>
    <row r="219" spans="4:22" ht="26.25" hidden="1" customHeight="1">
      <c r="D219" s="64" t="s">
        <v>1320</v>
      </c>
      <c r="E219" s="402">
        <v>19</v>
      </c>
      <c r="F219" s="402">
        <v>19</v>
      </c>
      <c r="G219" s="402">
        <v>19</v>
      </c>
      <c r="H219" s="402">
        <v>19</v>
      </c>
      <c r="I219" s="402">
        <v>19</v>
      </c>
      <c r="J219" s="402">
        <v>19</v>
      </c>
      <c r="K219" s="402">
        <v>19</v>
      </c>
      <c r="L219" s="402">
        <v>19</v>
      </c>
      <c r="M219" s="402">
        <v>19</v>
      </c>
      <c r="N219" s="402">
        <v>19</v>
      </c>
      <c r="O219" s="402">
        <v>19</v>
      </c>
      <c r="P219" s="402">
        <v>19</v>
      </c>
      <c r="Q219" s="7"/>
      <c r="U219" s="35"/>
      <c r="V219" s="40"/>
    </row>
    <row r="220" spans="4:22" ht="26.25" hidden="1" customHeight="1">
      <c r="D220" s="64" t="s">
        <v>1321</v>
      </c>
      <c r="E220" s="402">
        <v>1</v>
      </c>
      <c r="F220" s="402">
        <v>1</v>
      </c>
      <c r="G220" s="402">
        <v>1</v>
      </c>
      <c r="H220" s="402">
        <v>1</v>
      </c>
      <c r="I220" s="402">
        <v>1</v>
      </c>
      <c r="J220" s="402">
        <v>1</v>
      </c>
      <c r="K220" s="402">
        <v>1</v>
      </c>
      <c r="L220" s="402">
        <v>1</v>
      </c>
      <c r="M220" s="402">
        <v>1</v>
      </c>
      <c r="N220" s="402">
        <v>1</v>
      </c>
      <c r="O220" s="402">
        <v>1</v>
      </c>
      <c r="P220" s="402">
        <v>1</v>
      </c>
    </row>
    <row r="221" spans="4:22" ht="26.25" hidden="1" customHeight="1">
      <c r="D221" s="64" t="s">
        <v>1317</v>
      </c>
      <c r="E221" s="402">
        <v>19</v>
      </c>
      <c r="F221" s="402">
        <v>19</v>
      </c>
      <c r="G221" s="402">
        <v>21</v>
      </c>
      <c r="H221" s="402">
        <v>21</v>
      </c>
      <c r="I221" s="402">
        <v>21</v>
      </c>
      <c r="J221" s="297">
        <v>22</v>
      </c>
      <c r="K221" s="297">
        <v>22</v>
      </c>
      <c r="L221" s="297">
        <v>22</v>
      </c>
      <c r="M221" s="297">
        <v>22</v>
      </c>
      <c r="N221" s="297">
        <v>22</v>
      </c>
      <c r="O221" s="297">
        <v>22</v>
      </c>
      <c r="P221" s="297">
        <v>22</v>
      </c>
    </row>
    <row r="222" spans="4:22" ht="26.25" hidden="1" customHeight="1">
      <c r="D222" s="64" t="s">
        <v>1322</v>
      </c>
      <c r="E222" s="402">
        <v>16</v>
      </c>
      <c r="F222" s="402">
        <v>16</v>
      </c>
      <c r="G222" s="402">
        <v>16</v>
      </c>
      <c r="H222" s="402">
        <v>16</v>
      </c>
      <c r="I222" s="402">
        <v>16</v>
      </c>
      <c r="J222" s="297">
        <v>16</v>
      </c>
      <c r="K222" s="297">
        <v>16</v>
      </c>
      <c r="L222" s="297">
        <v>16</v>
      </c>
      <c r="M222" s="297">
        <v>16</v>
      </c>
      <c r="N222" s="297">
        <v>16</v>
      </c>
      <c r="O222" s="297">
        <v>16</v>
      </c>
      <c r="P222" s="297">
        <v>16</v>
      </c>
    </row>
    <row r="223" spans="4:22" ht="26.25" hidden="1" customHeight="1">
      <c r="D223" s="64" t="s">
        <v>1323</v>
      </c>
      <c r="E223" s="406"/>
      <c r="F223" s="406"/>
      <c r="G223" s="406"/>
      <c r="H223" s="406"/>
      <c r="I223" s="406"/>
      <c r="J223" s="407"/>
      <c r="K223" s="407"/>
      <c r="L223" s="407"/>
      <c r="M223" s="407"/>
      <c r="N223" s="407"/>
      <c r="O223" s="407"/>
      <c r="P223" s="407"/>
    </row>
    <row r="224" spans="4:22" ht="26.25" hidden="1" customHeight="1">
      <c r="D224" s="64" t="s">
        <v>1324</v>
      </c>
      <c r="E224" s="402">
        <v>8</v>
      </c>
      <c r="F224" s="402">
        <v>8</v>
      </c>
      <c r="G224" s="402">
        <v>8</v>
      </c>
      <c r="H224" s="402">
        <v>9</v>
      </c>
      <c r="I224" s="402">
        <v>9</v>
      </c>
      <c r="J224" s="297">
        <v>9</v>
      </c>
      <c r="K224" s="297">
        <v>9</v>
      </c>
      <c r="L224" s="297">
        <v>9</v>
      </c>
      <c r="M224" s="297">
        <v>9</v>
      </c>
      <c r="N224" s="297">
        <v>8</v>
      </c>
      <c r="O224" s="297">
        <v>8</v>
      </c>
      <c r="P224" s="297">
        <v>8</v>
      </c>
    </row>
    <row r="225" spans="4:17" ht="26.25" hidden="1" customHeight="1">
      <c r="D225" s="6" t="s">
        <v>1327</v>
      </c>
      <c r="E225" s="7">
        <f>SUM(E204:E224)</f>
        <v>317</v>
      </c>
      <c r="F225" s="7">
        <f t="shared" ref="F225:P225" si="22">SUM(F204:F224)</f>
        <v>314</v>
      </c>
      <c r="G225" s="7">
        <f t="shared" si="22"/>
        <v>320</v>
      </c>
      <c r="H225" s="7">
        <f t="shared" si="22"/>
        <v>322</v>
      </c>
      <c r="I225" s="7">
        <f t="shared" si="22"/>
        <v>334</v>
      </c>
      <c r="J225" s="7">
        <f t="shared" si="22"/>
        <v>337</v>
      </c>
      <c r="K225" s="7">
        <f t="shared" si="22"/>
        <v>344</v>
      </c>
      <c r="L225" s="7">
        <f t="shared" si="22"/>
        <v>342</v>
      </c>
      <c r="M225" s="7">
        <f t="shared" si="22"/>
        <v>336</v>
      </c>
      <c r="N225" s="7">
        <f t="shared" si="22"/>
        <v>346</v>
      </c>
      <c r="O225" s="7">
        <f t="shared" si="22"/>
        <v>348</v>
      </c>
      <c r="P225" s="7">
        <f t="shared" si="22"/>
        <v>349</v>
      </c>
      <c r="Q225" s="5">
        <f>SUM(E225:P225)</f>
        <v>4009</v>
      </c>
    </row>
    <row r="226" spans="4:17" ht="26.25" hidden="1" customHeight="1">
      <c r="D226" s="64" t="s">
        <v>1326</v>
      </c>
    </row>
    <row r="227" spans="4:17" ht="26.25" hidden="1" customHeight="1">
      <c r="D227" s="64" t="s">
        <v>1304</v>
      </c>
      <c r="E227" s="83">
        <f>+E204/E$225</f>
        <v>6.3091482649842268E-2</v>
      </c>
      <c r="F227" s="83">
        <f t="shared" ref="F227:P227" si="23">+F204/F$225</f>
        <v>6.3694267515923567E-2</v>
      </c>
      <c r="G227" s="83">
        <f t="shared" si="23"/>
        <v>6.25E-2</v>
      </c>
      <c r="H227" s="83">
        <f t="shared" si="23"/>
        <v>6.2111801242236024E-2</v>
      </c>
      <c r="I227" s="83">
        <f t="shared" si="23"/>
        <v>5.9880239520958084E-2</v>
      </c>
      <c r="J227" s="83">
        <f t="shared" si="23"/>
        <v>5.9347181008902079E-2</v>
      </c>
      <c r="K227" s="83">
        <f t="shared" si="23"/>
        <v>5.8139534883720929E-2</v>
      </c>
      <c r="L227" s="83">
        <f t="shared" si="23"/>
        <v>5.8479532163742687E-2</v>
      </c>
      <c r="M227" s="83">
        <f t="shared" si="23"/>
        <v>5.9523809523809521E-2</v>
      </c>
      <c r="N227" s="83">
        <f t="shared" si="23"/>
        <v>5.7803468208092484E-2</v>
      </c>
      <c r="O227" s="83">
        <f t="shared" si="23"/>
        <v>5.7471264367816091E-2</v>
      </c>
      <c r="P227" s="83">
        <f t="shared" si="23"/>
        <v>5.730659025787966E-2</v>
      </c>
    </row>
    <row r="228" spans="4:17" ht="26.25" hidden="1" customHeight="1">
      <c r="D228" s="64" t="s">
        <v>1305</v>
      </c>
      <c r="E228" s="83">
        <f t="shared" ref="E228:P228" si="24">+E205/E$225</f>
        <v>0.15141955835962145</v>
      </c>
      <c r="F228" s="83">
        <f t="shared" si="24"/>
        <v>0.15605095541401273</v>
      </c>
      <c r="G228" s="83">
        <f t="shared" si="24"/>
        <v>0.14687500000000001</v>
      </c>
      <c r="H228" s="83">
        <f t="shared" si="24"/>
        <v>0.14596273291925466</v>
      </c>
      <c r="I228" s="83">
        <f t="shared" si="24"/>
        <v>0.1437125748502994</v>
      </c>
      <c r="J228" s="83">
        <f t="shared" si="24"/>
        <v>0.1394658753709199</v>
      </c>
      <c r="K228" s="83">
        <f t="shared" si="24"/>
        <v>0.14825581395348839</v>
      </c>
      <c r="L228" s="83">
        <f t="shared" si="24"/>
        <v>0.15204678362573099</v>
      </c>
      <c r="M228" s="83">
        <f t="shared" si="24"/>
        <v>0.13690476190476192</v>
      </c>
      <c r="N228" s="83">
        <f t="shared" si="24"/>
        <v>0.1416184971098266</v>
      </c>
      <c r="O228" s="83">
        <f t="shared" si="24"/>
        <v>0.13793103448275862</v>
      </c>
      <c r="P228" s="83">
        <f t="shared" si="24"/>
        <v>0.14040114613180515</v>
      </c>
    </row>
    <row r="229" spans="4:17" ht="26.25" hidden="1" customHeight="1">
      <c r="D229" s="64" t="s">
        <v>1306</v>
      </c>
      <c r="E229" s="83">
        <f t="shared" ref="E229:P229" si="25">+E206/E$225</f>
        <v>1.5772870662460567E-2</v>
      </c>
      <c r="F229" s="83">
        <f t="shared" si="25"/>
        <v>1.5923566878980892E-2</v>
      </c>
      <c r="G229" s="83">
        <f t="shared" si="25"/>
        <v>1.5625E-2</v>
      </c>
      <c r="H229" s="83">
        <f t="shared" si="25"/>
        <v>1.5527950310559006E-2</v>
      </c>
      <c r="I229" s="83">
        <f t="shared" si="25"/>
        <v>1.4970059880239521E-2</v>
      </c>
      <c r="J229" s="83">
        <f t="shared" si="25"/>
        <v>1.483679525222552E-2</v>
      </c>
      <c r="K229" s="83">
        <f t="shared" si="25"/>
        <v>1.4534883720930232E-2</v>
      </c>
      <c r="L229" s="83">
        <f t="shared" si="25"/>
        <v>1.4619883040935672E-2</v>
      </c>
      <c r="M229" s="83">
        <f t="shared" si="25"/>
        <v>1.488095238095238E-2</v>
      </c>
      <c r="N229" s="83">
        <f t="shared" si="25"/>
        <v>1.4450867052023121E-2</v>
      </c>
      <c r="O229" s="83">
        <f t="shared" si="25"/>
        <v>1.4367816091954023E-2</v>
      </c>
      <c r="P229" s="83">
        <f t="shared" si="25"/>
        <v>1.4326647564469915E-2</v>
      </c>
    </row>
    <row r="230" spans="4:17" ht="26.25" hidden="1" customHeight="1">
      <c r="D230" s="64" t="s">
        <v>1307</v>
      </c>
      <c r="E230" s="83">
        <f t="shared" ref="E230:P230" si="26">+E207/E$225</f>
        <v>6.3091482649842269E-3</v>
      </c>
      <c r="F230" s="83">
        <f t="shared" si="26"/>
        <v>6.369426751592357E-3</v>
      </c>
      <c r="G230" s="83">
        <f t="shared" si="26"/>
        <v>6.2500000000000003E-3</v>
      </c>
      <c r="H230" s="83">
        <f t="shared" si="26"/>
        <v>6.2111801242236021E-3</v>
      </c>
      <c r="I230" s="83">
        <f t="shared" si="26"/>
        <v>5.9880239520958087E-3</v>
      </c>
      <c r="J230" s="83">
        <f t="shared" si="26"/>
        <v>5.9347181008902079E-3</v>
      </c>
      <c r="K230" s="83">
        <f t="shared" si="26"/>
        <v>5.8139534883720929E-3</v>
      </c>
      <c r="L230" s="83">
        <f t="shared" si="26"/>
        <v>5.8479532163742687E-3</v>
      </c>
      <c r="M230" s="83">
        <f t="shared" si="26"/>
        <v>5.9523809523809521E-3</v>
      </c>
      <c r="N230" s="83">
        <f t="shared" si="26"/>
        <v>5.7803468208092483E-3</v>
      </c>
      <c r="O230" s="83">
        <f t="shared" si="26"/>
        <v>5.7471264367816091E-3</v>
      </c>
      <c r="P230" s="83">
        <f t="shared" si="26"/>
        <v>5.7306590257879654E-3</v>
      </c>
    </row>
    <row r="231" spans="4:17" ht="26.25" hidden="1" customHeight="1">
      <c r="D231" s="64" t="s">
        <v>1308</v>
      </c>
      <c r="E231" s="83">
        <f t="shared" ref="E231:P231" si="27">+E208/E$225</f>
        <v>6.3091482649842269E-3</v>
      </c>
      <c r="F231" s="83">
        <f t="shared" si="27"/>
        <v>6.369426751592357E-3</v>
      </c>
      <c r="G231" s="83">
        <f t="shared" si="27"/>
        <v>6.2500000000000003E-3</v>
      </c>
      <c r="H231" s="83">
        <f t="shared" si="27"/>
        <v>6.2111801242236021E-3</v>
      </c>
      <c r="I231" s="83">
        <f t="shared" si="27"/>
        <v>5.9880239520958087E-3</v>
      </c>
      <c r="J231" s="83">
        <f t="shared" si="27"/>
        <v>5.9347181008902079E-3</v>
      </c>
      <c r="K231" s="83">
        <f t="shared" si="27"/>
        <v>5.8139534883720929E-3</v>
      </c>
      <c r="L231" s="83">
        <f t="shared" si="27"/>
        <v>5.8479532163742687E-3</v>
      </c>
      <c r="M231" s="83">
        <f t="shared" si="27"/>
        <v>5.9523809523809521E-3</v>
      </c>
      <c r="N231" s="83">
        <f t="shared" si="27"/>
        <v>5.7803468208092483E-3</v>
      </c>
      <c r="O231" s="83">
        <f t="shared" si="27"/>
        <v>5.7471264367816091E-3</v>
      </c>
      <c r="P231" s="83">
        <f t="shared" si="27"/>
        <v>5.7306590257879654E-3</v>
      </c>
    </row>
    <row r="232" spans="4:17" ht="26.25" hidden="1" customHeight="1">
      <c r="D232" s="64" t="s">
        <v>1309</v>
      </c>
      <c r="E232" s="83">
        <f t="shared" ref="E232:P232" si="28">+E209/E$225</f>
        <v>0.11356466876971609</v>
      </c>
      <c r="F232" s="83">
        <f t="shared" si="28"/>
        <v>0.11464968152866242</v>
      </c>
      <c r="G232" s="83">
        <f t="shared" si="28"/>
        <v>0.1125</v>
      </c>
      <c r="H232" s="83">
        <f t="shared" si="28"/>
        <v>0.11180124223602485</v>
      </c>
      <c r="I232" s="83">
        <f t="shared" si="28"/>
        <v>0.10778443113772455</v>
      </c>
      <c r="J232" s="83">
        <f t="shared" si="28"/>
        <v>0.11572700296735905</v>
      </c>
      <c r="K232" s="83">
        <f t="shared" si="28"/>
        <v>0.11337209302325581</v>
      </c>
      <c r="L232" s="83">
        <f t="shared" si="28"/>
        <v>0.11403508771929824</v>
      </c>
      <c r="M232" s="83">
        <f t="shared" si="28"/>
        <v>0.11607142857142858</v>
      </c>
      <c r="N232" s="83">
        <f t="shared" si="28"/>
        <v>0.11271676300578035</v>
      </c>
      <c r="O232" s="83">
        <f t="shared" si="28"/>
        <v>0.11494252873563218</v>
      </c>
      <c r="P232" s="83">
        <f t="shared" si="28"/>
        <v>0.11461318051575932</v>
      </c>
    </row>
    <row r="233" spans="4:17" ht="26.25" hidden="1" customHeight="1">
      <c r="D233" s="64" t="s">
        <v>1310</v>
      </c>
      <c r="E233" s="83">
        <f t="shared" ref="E233:P233" si="29">+E210/E$225</f>
        <v>0.1167192429022082</v>
      </c>
      <c r="F233" s="83">
        <f t="shared" si="29"/>
        <v>0.1464968152866242</v>
      </c>
      <c r="G233" s="83">
        <f t="shared" si="29"/>
        <v>0.109375</v>
      </c>
      <c r="H233" s="83">
        <f t="shared" si="29"/>
        <v>0.11801242236024845</v>
      </c>
      <c r="I233" s="83">
        <f t="shared" si="29"/>
        <v>0.11077844311377245</v>
      </c>
      <c r="J233" s="83">
        <f t="shared" si="29"/>
        <v>0.11572700296735905</v>
      </c>
      <c r="K233" s="83">
        <f t="shared" si="29"/>
        <v>0.11918604651162791</v>
      </c>
      <c r="L233" s="83">
        <f t="shared" si="29"/>
        <v>0.12573099415204678</v>
      </c>
      <c r="M233" s="83">
        <f t="shared" si="29"/>
        <v>0.14880952380952381</v>
      </c>
      <c r="N233" s="83">
        <f t="shared" si="29"/>
        <v>0.10115606936416185</v>
      </c>
      <c r="O233" s="83">
        <f t="shared" si="29"/>
        <v>0.10344827586206896</v>
      </c>
      <c r="P233" s="83">
        <f t="shared" si="29"/>
        <v>0.10601719197707736</v>
      </c>
    </row>
    <row r="234" spans="4:17" ht="26.25" hidden="1" customHeight="1">
      <c r="D234" s="64" t="s">
        <v>1311</v>
      </c>
      <c r="E234" s="83">
        <f t="shared" ref="E234:P234" si="30">+E211/E$225</f>
        <v>7.5709779179810727E-2</v>
      </c>
      <c r="F234" s="83">
        <f t="shared" si="30"/>
        <v>9.5541401273885357E-2</v>
      </c>
      <c r="G234" s="83">
        <f t="shared" si="30"/>
        <v>6.8750000000000006E-2</v>
      </c>
      <c r="H234" s="83">
        <f t="shared" si="30"/>
        <v>7.4534161490683232E-2</v>
      </c>
      <c r="I234" s="83">
        <f t="shared" si="30"/>
        <v>7.1856287425149698E-2</v>
      </c>
      <c r="J234" s="83">
        <f t="shared" si="30"/>
        <v>7.418397626112759E-2</v>
      </c>
      <c r="K234" s="83">
        <f t="shared" si="30"/>
        <v>8.4302325581395346E-2</v>
      </c>
      <c r="L234" s="83">
        <f t="shared" si="30"/>
        <v>9.0643274853801165E-2</v>
      </c>
      <c r="M234" s="83">
        <f t="shared" si="30"/>
        <v>0.10714285714285714</v>
      </c>
      <c r="N234" s="83">
        <f t="shared" si="30"/>
        <v>6.9364161849710976E-2</v>
      </c>
      <c r="O234" s="83">
        <f t="shared" si="30"/>
        <v>7.183908045977011E-2</v>
      </c>
      <c r="P234" s="83">
        <f t="shared" si="30"/>
        <v>7.4498567335243557E-2</v>
      </c>
    </row>
    <row r="235" spans="4:17" ht="26.25" hidden="1" customHeight="1">
      <c r="D235" s="64" t="s">
        <v>1312</v>
      </c>
      <c r="E235" s="83">
        <f t="shared" ref="E235:P235" si="31">+E212/E$225</f>
        <v>7.2555205047318619E-2</v>
      </c>
      <c r="F235" s="83">
        <f t="shared" si="31"/>
        <v>1.5923566878980892E-2</v>
      </c>
      <c r="G235" s="83">
        <f t="shared" si="31"/>
        <v>8.7499999999999994E-2</v>
      </c>
      <c r="H235" s="83">
        <f t="shared" si="31"/>
        <v>7.1428571428571425E-2</v>
      </c>
      <c r="I235" s="83">
        <f t="shared" si="31"/>
        <v>9.880239520958084E-2</v>
      </c>
      <c r="J235" s="83">
        <f t="shared" si="31"/>
        <v>9.1988130563798218E-2</v>
      </c>
      <c r="K235" s="83">
        <f t="shared" si="31"/>
        <v>8.1395348837209308E-2</v>
      </c>
      <c r="L235" s="83">
        <f t="shared" si="31"/>
        <v>6.1403508771929821E-2</v>
      </c>
      <c r="M235" s="83">
        <f t="shared" si="31"/>
        <v>2.6785714285714284E-2</v>
      </c>
      <c r="N235" s="83">
        <f t="shared" si="31"/>
        <v>0.12138728323699421</v>
      </c>
      <c r="O235" s="83">
        <f t="shared" si="31"/>
        <v>0.12931034482758622</v>
      </c>
      <c r="P235" s="83">
        <f t="shared" si="31"/>
        <v>0.12320916905444126</v>
      </c>
    </row>
    <row r="236" spans="4:17" ht="26.25" hidden="1" customHeight="1">
      <c r="D236" s="64" t="s">
        <v>1313</v>
      </c>
      <c r="E236" s="83">
        <f t="shared" ref="E236:P236" si="32">+E213/E$225</f>
        <v>9.4637223974763408E-3</v>
      </c>
      <c r="F236" s="83">
        <f t="shared" si="32"/>
        <v>9.5541401273885346E-3</v>
      </c>
      <c r="G236" s="83">
        <f t="shared" si="32"/>
        <v>9.3749999999999997E-3</v>
      </c>
      <c r="H236" s="83">
        <f t="shared" si="32"/>
        <v>9.316770186335404E-3</v>
      </c>
      <c r="I236" s="83">
        <f t="shared" si="32"/>
        <v>8.9820359281437123E-3</v>
      </c>
      <c r="J236" s="83">
        <f t="shared" si="32"/>
        <v>8.9020771513353119E-3</v>
      </c>
      <c r="K236" s="83">
        <f t="shared" si="32"/>
        <v>8.7209302325581394E-3</v>
      </c>
      <c r="L236" s="83">
        <f t="shared" si="32"/>
        <v>8.771929824561403E-3</v>
      </c>
      <c r="M236" s="83">
        <f t="shared" si="32"/>
        <v>8.9285714285714281E-3</v>
      </c>
      <c r="N236" s="83">
        <f t="shared" si="32"/>
        <v>8.670520231213872E-3</v>
      </c>
      <c r="O236" s="83">
        <f t="shared" si="32"/>
        <v>8.6206896551724137E-3</v>
      </c>
      <c r="P236" s="83">
        <f t="shared" si="32"/>
        <v>8.5959885386819486E-3</v>
      </c>
    </row>
    <row r="237" spans="4:17" ht="26.25" hidden="1" customHeight="1">
      <c r="D237" s="64" t="s">
        <v>1314</v>
      </c>
      <c r="E237" s="83">
        <f t="shared" ref="E237:P237" si="33">+E214/E$225</f>
        <v>5.6782334384858045E-2</v>
      </c>
      <c r="F237" s="83">
        <f t="shared" si="33"/>
        <v>5.4140127388535034E-2</v>
      </c>
      <c r="G237" s="83">
        <f t="shared" si="33"/>
        <v>5.9374999999999997E-2</v>
      </c>
      <c r="H237" s="83">
        <f t="shared" si="33"/>
        <v>5.9006211180124224E-2</v>
      </c>
      <c r="I237" s="83">
        <f t="shared" si="33"/>
        <v>5.6886227544910177E-2</v>
      </c>
      <c r="J237" s="83">
        <f t="shared" si="33"/>
        <v>5.3412462908011868E-2</v>
      </c>
      <c r="K237" s="83">
        <f t="shared" si="33"/>
        <v>5.232558139534884E-2</v>
      </c>
      <c r="L237" s="83">
        <f t="shared" si="33"/>
        <v>5.2631578947368418E-2</v>
      </c>
      <c r="M237" s="83">
        <f t="shared" si="33"/>
        <v>5.3571428571428568E-2</v>
      </c>
      <c r="N237" s="83">
        <f t="shared" si="33"/>
        <v>5.7803468208092484E-2</v>
      </c>
      <c r="O237" s="83">
        <f t="shared" si="33"/>
        <v>5.7471264367816091E-2</v>
      </c>
      <c r="P237" s="83">
        <f t="shared" si="33"/>
        <v>5.730659025787966E-2</v>
      </c>
    </row>
    <row r="238" spans="4:17" ht="26.25" hidden="1" customHeight="1">
      <c r="D238" s="64" t="s">
        <v>1315</v>
      </c>
      <c r="E238" s="83">
        <f t="shared" ref="E238:P238" si="34">+E215/E$225</f>
        <v>2.8391167192429023E-2</v>
      </c>
      <c r="F238" s="83">
        <f t="shared" si="34"/>
        <v>2.8662420382165606E-2</v>
      </c>
      <c r="G238" s="83">
        <f t="shared" si="34"/>
        <v>2.8125000000000001E-2</v>
      </c>
      <c r="H238" s="83">
        <f t="shared" si="34"/>
        <v>3.1055900621118012E-2</v>
      </c>
      <c r="I238" s="83">
        <f t="shared" si="34"/>
        <v>3.5928143712574849E-2</v>
      </c>
      <c r="J238" s="83">
        <f t="shared" si="34"/>
        <v>3.5608308605341248E-2</v>
      </c>
      <c r="K238" s="83">
        <f t="shared" si="34"/>
        <v>3.4883720930232558E-2</v>
      </c>
      <c r="L238" s="83">
        <f t="shared" si="34"/>
        <v>3.5087719298245612E-2</v>
      </c>
      <c r="M238" s="83">
        <f t="shared" si="34"/>
        <v>3.5714285714285712E-2</v>
      </c>
      <c r="N238" s="83">
        <f t="shared" si="34"/>
        <v>3.4682080924855488E-2</v>
      </c>
      <c r="O238" s="83">
        <f t="shared" si="34"/>
        <v>2.5862068965517241E-2</v>
      </c>
      <c r="P238" s="83">
        <f t="shared" si="34"/>
        <v>2.5787965616045846E-2</v>
      </c>
    </row>
    <row r="239" spans="4:17" ht="26.25" hidden="1" customHeight="1">
      <c r="D239" s="64" t="s">
        <v>1316</v>
      </c>
      <c r="E239" s="83">
        <f t="shared" ref="E239:P239" si="35">+E216/E$225</f>
        <v>1.5772870662460567E-2</v>
      </c>
      <c r="F239" s="83">
        <f t="shared" si="35"/>
        <v>1.5923566878980892E-2</v>
      </c>
      <c r="G239" s="83">
        <f t="shared" si="35"/>
        <v>1.5625E-2</v>
      </c>
      <c r="H239" s="83">
        <f t="shared" si="35"/>
        <v>1.5527950310559006E-2</v>
      </c>
      <c r="I239" s="83">
        <f t="shared" si="35"/>
        <v>1.4970059880239521E-2</v>
      </c>
      <c r="J239" s="83">
        <f t="shared" si="35"/>
        <v>1.483679525222552E-2</v>
      </c>
      <c r="K239" s="83">
        <f t="shared" si="35"/>
        <v>1.4534883720930232E-2</v>
      </c>
      <c r="L239" s="83">
        <f t="shared" si="35"/>
        <v>1.4619883040935672E-2</v>
      </c>
      <c r="M239" s="83">
        <f t="shared" si="35"/>
        <v>1.488095238095238E-2</v>
      </c>
      <c r="N239" s="83">
        <f t="shared" si="35"/>
        <v>1.4450867052023121E-2</v>
      </c>
      <c r="O239" s="83">
        <f t="shared" si="35"/>
        <v>1.4367816091954023E-2</v>
      </c>
      <c r="P239" s="83">
        <f t="shared" si="35"/>
        <v>1.4326647564469915E-2</v>
      </c>
    </row>
    <row r="240" spans="4:17" ht="26.25" hidden="1" customHeight="1">
      <c r="D240" s="64" t="s">
        <v>1318</v>
      </c>
      <c r="E240" s="83">
        <f t="shared" ref="E240:P240" si="36">+E217/E$225</f>
        <v>4.4164037854889593E-2</v>
      </c>
      <c r="F240" s="83">
        <f t="shared" si="36"/>
        <v>4.4585987261146494E-2</v>
      </c>
      <c r="G240" s="83">
        <f t="shared" si="36"/>
        <v>4.3749999999999997E-2</v>
      </c>
      <c r="H240" s="83">
        <f t="shared" si="36"/>
        <v>4.3478260869565216E-2</v>
      </c>
      <c r="I240" s="83">
        <f t="shared" si="36"/>
        <v>4.1916167664670656E-2</v>
      </c>
      <c r="J240" s="83">
        <f t="shared" si="36"/>
        <v>4.1543026706231452E-2</v>
      </c>
      <c r="K240" s="83">
        <f t="shared" si="36"/>
        <v>4.0697674418604654E-2</v>
      </c>
      <c r="L240" s="83">
        <f t="shared" si="36"/>
        <v>4.0935672514619881E-2</v>
      </c>
      <c r="M240" s="83">
        <f t="shared" si="36"/>
        <v>4.1666666666666664E-2</v>
      </c>
      <c r="N240" s="83">
        <f t="shared" si="36"/>
        <v>4.046242774566474E-2</v>
      </c>
      <c r="O240" s="83">
        <f t="shared" si="36"/>
        <v>4.0229885057471264E-2</v>
      </c>
      <c r="P240" s="83">
        <f t="shared" si="36"/>
        <v>4.0114613180515762E-2</v>
      </c>
    </row>
    <row r="241" spans="4:17" ht="26.25" hidden="1" customHeight="1">
      <c r="D241" s="64" t="s">
        <v>1319</v>
      </c>
      <c r="E241" s="83">
        <f t="shared" ref="E241:P241" si="37">+E218/E$225</f>
        <v>2.5236593059936908E-2</v>
      </c>
      <c r="F241" s="83">
        <f t="shared" si="37"/>
        <v>2.5477707006369428E-2</v>
      </c>
      <c r="G241" s="83">
        <f t="shared" si="37"/>
        <v>2.5000000000000001E-2</v>
      </c>
      <c r="H241" s="83">
        <f t="shared" si="37"/>
        <v>2.4844720496894408E-2</v>
      </c>
      <c r="I241" s="83">
        <f t="shared" si="37"/>
        <v>2.3952095808383235E-2</v>
      </c>
      <c r="J241" s="83">
        <f t="shared" si="37"/>
        <v>2.3738872403560832E-2</v>
      </c>
      <c r="K241" s="83">
        <f t="shared" si="37"/>
        <v>2.3255813953488372E-2</v>
      </c>
      <c r="L241" s="83">
        <f t="shared" si="37"/>
        <v>2.3391812865497075E-2</v>
      </c>
      <c r="M241" s="83">
        <f t="shared" si="37"/>
        <v>2.3809523809523808E-2</v>
      </c>
      <c r="N241" s="83">
        <f t="shared" si="37"/>
        <v>2.3121387283236993E-2</v>
      </c>
      <c r="O241" s="83">
        <f t="shared" si="37"/>
        <v>2.2988505747126436E-2</v>
      </c>
      <c r="P241" s="83">
        <f t="shared" si="37"/>
        <v>2.2922636103151862E-2</v>
      </c>
    </row>
    <row r="242" spans="4:17" ht="26.25" hidden="1" customHeight="1">
      <c r="D242" s="64" t="s">
        <v>1320</v>
      </c>
      <c r="E242" s="83">
        <f t="shared" ref="E242:P242" si="38">+E219/E$225</f>
        <v>5.993690851735016E-2</v>
      </c>
      <c r="F242" s="83">
        <f t="shared" si="38"/>
        <v>6.0509554140127389E-2</v>
      </c>
      <c r="G242" s="83">
        <f t="shared" si="38"/>
        <v>5.9374999999999997E-2</v>
      </c>
      <c r="H242" s="83">
        <f t="shared" si="38"/>
        <v>5.9006211180124224E-2</v>
      </c>
      <c r="I242" s="83">
        <f t="shared" si="38"/>
        <v>5.6886227544910177E-2</v>
      </c>
      <c r="J242" s="83">
        <f t="shared" si="38"/>
        <v>5.637982195845697E-2</v>
      </c>
      <c r="K242" s="83">
        <f t="shared" si="38"/>
        <v>5.5232558139534885E-2</v>
      </c>
      <c r="L242" s="83">
        <f t="shared" si="38"/>
        <v>5.5555555555555552E-2</v>
      </c>
      <c r="M242" s="83">
        <f t="shared" si="38"/>
        <v>5.6547619047619048E-2</v>
      </c>
      <c r="N242" s="83">
        <f t="shared" si="38"/>
        <v>5.4913294797687862E-2</v>
      </c>
      <c r="O242" s="83">
        <f t="shared" si="38"/>
        <v>5.459770114942529E-2</v>
      </c>
      <c r="P242" s="83">
        <f t="shared" si="38"/>
        <v>5.4441260744985676E-2</v>
      </c>
    </row>
    <row r="243" spans="4:17" ht="26.25" hidden="1" customHeight="1">
      <c r="D243" s="64" t="s">
        <v>1321</v>
      </c>
      <c r="E243" s="83">
        <f t="shared" ref="E243:P243" si="39">+E220/E$225</f>
        <v>3.1545741324921135E-3</v>
      </c>
      <c r="F243" s="83">
        <f t="shared" si="39"/>
        <v>3.1847133757961785E-3</v>
      </c>
      <c r="G243" s="83">
        <f t="shared" si="39"/>
        <v>3.1250000000000002E-3</v>
      </c>
      <c r="H243" s="83">
        <f t="shared" si="39"/>
        <v>3.105590062111801E-3</v>
      </c>
      <c r="I243" s="83">
        <f t="shared" si="39"/>
        <v>2.9940119760479044E-3</v>
      </c>
      <c r="J243" s="83">
        <f t="shared" si="39"/>
        <v>2.967359050445104E-3</v>
      </c>
      <c r="K243" s="83">
        <f t="shared" si="39"/>
        <v>2.9069767441860465E-3</v>
      </c>
      <c r="L243" s="83">
        <f t="shared" si="39"/>
        <v>2.9239766081871343E-3</v>
      </c>
      <c r="M243" s="83">
        <f t="shared" si="39"/>
        <v>2.976190476190476E-3</v>
      </c>
      <c r="N243" s="83">
        <f t="shared" si="39"/>
        <v>2.8901734104046241E-3</v>
      </c>
      <c r="O243" s="83">
        <f t="shared" si="39"/>
        <v>2.8735632183908046E-3</v>
      </c>
      <c r="P243" s="83">
        <f t="shared" si="39"/>
        <v>2.8653295128939827E-3</v>
      </c>
    </row>
    <row r="244" spans="4:17" ht="26.25" hidden="1" customHeight="1">
      <c r="D244" s="64" t="s">
        <v>1317</v>
      </c>
      <c r="E244" s="83">
        <f t="shared" ref="E244:P244" si="40">+E221/E$225</f>
        <v>5.993690851735016E-2</v>
      </c>
      <c r="F244" s="83">
        <f t="shared" si="40"/>
        <v>6.0509554140127389E-2</v>
      </c>
      <c r="G244" s="83">
        <f t="shared" si="40"/>
        <v>6.5625000000000003E-2</v>
      </c>
      <c r="H244" s="83">
        <f t="shared" si="40"/>
        <v>6.5217391304347824E-2</v>
      </c>
      <c r="I244" s="83">
        <f t="shared" si="40"/>
        <v>6.2874251497005984E-2</v>
      </c>
      <c r="J244" s="83">
        <f t="shared" si="40"/>
        <v>6.5281899109792291E-2</v>
      </c>
      <c r="K244" s="83">
        <f t="shared" si="40"/>
        <v>6.3953488372093026E-2</v>
      </c>
      <c r="L244" s="83">
        <f t="shared" si="40"/>
        <v>6.4327485380116955E-2</v>
      </c>
      <c r="M244" s="83">
        <f t="shared" si="40"/>
        <v>6.5476190476190479E-2</v>
      </c>
      <c r="N244" s="83">
        <f t="shared" si="40"/>
        <v>6.358381502890173E-2</v>
      </c>
      <c r="O244" s="83">
        <f t="shared" si="40"/>
        <v>6.3218390804597707E-2</v>
      </c>
      <c r="P244" s="83">
        <f t="shared" si="40"/>
        <v>6.3037249283667621E-2</v>
      </c>
    </row>
    <row r="245" spans="4:17" ht="26.25" hidden="1" customHeight="1">
      <c r="D245" s="64" t="s">
        <v>1322</v>
      </c>
      <c r="E245" s="83">
        <f t="shared" ref="E245:P245" si="41">+E222/E$225</f>
        <v>5.0473186119873815E-2</v>
      </c>
      <c r="F245" s="83">
        <f t="shared" si="41"/>
        <v>5.0955414012738856E-2</v>
      </c>
      <c r="G245" s="83">
        <f t="shared" si="41"/>
        <v>0.05</v>
      </c>
      <c r="H245" s="83">
        <f t="shared" si="41"/>
        <v>4.9689440993788817E-2</v>
      </c>
      <c r="I245" s="83">
        <f t="shared" si="41"/>
        <v>4.790419161676647E-2</v>
      </c>
      <c r="J245" s="83">
        <f t="shared" si="41"/>
        <v>4.7477744807121663E-2</v>
      </c>
      <c r="K245" s="83">
        <f t="shared" si="41"/>
        <v>4.6511627906976744E-2</v>
      </c>
      <c r="L245" s="83">
        <f t="shared" si="41"/>
        <v>4.6783625730994149E-2</v>
      </c>
      <c r="M245" s="83">
        <f t="shared" si="41"/>
        <v>4.7619047619047616E-2</v>
      </c>
      <c r="N245" s="83">
        <f t="shared" si="41"/>
        <v>4.6242774566473986E-2</v>
      </c>
      <c r="O245" s="83">
        <f t="shared" si="41"/>
        <v>4.5977011494252873E-2</v>
      </c>
      <c r="P245" s="83">
        <f t="shared" si="41"/>
        <v>4.5845272206303724E-2</v>
      </c>
    </row>
    <row r="246" spans="4:17" ht="26.25" hidden="1" customHeight="1">
      <c r="D246" s="64" t="s">
        <v>1323</v>
      </c>
      <c r="E246" s="83">
        <f t="shared" ref="E246:P246" si="42">+E223/E$225</f>
        <v>0</v>
      </c>
      <c r="F246" s="83">
        <f t="shared" si="42"/>
        <v>0</v>
      </c>
      <c r="G246" s="83">
        <f t="shared" si="42"/>
        <v>0</v>
      </c>
      <c r="H246" s="83">
        <f t="shared" si="42"/>
        <v>0</v>
      </c>
      <c r="I246" s="83">
        <f t="shared" si="42"/>
        <v>0</v>
      </c>
      <c r="J246" s="83">
        <f t="shared" si="42"/>
        <v>0</v>
      </c>
      <c r="K246" s="83">
        <f t="shared" si="42"/>
        <v>0</v>
      </c>
      <c r="L246" s="83">
        <f t="shared" si="42"/>
        <v>0</v>
      </c>
      <c r="M246" s="83">
        <f t="shared" si="42"/>
        <v>0</v>
      </c>
      <c r="N246" s="83">
        <f t="shared" si="42"/>
        <v>0</v>
      </c>
      <c r="O246" s="83">
        <f t="shared" si="42"/>
        <v>0</v>
      </c>
      <c r="P246" s="83">
        <f t="shared" si="42"/>
        <v>0</v>
      </c>
    </row>
    <row r="247" spans="4:17" ht="26.25" hidden="1" customHeight="1">
      <c r="D247" s="64" t="s">
        <v>1324</v>
      </c>
      <c r="E247" s="83">
        <f t="shared" ref="E247:P247" si="43">+E224/E$225</f>
        <v>2.5236593059936908E-2</v>
      </c>
      <c r="F247" s="83">
        <f t="shared" si="43"/>
        <v>2.5477707006369428E-2</v>
      </c>
      <c r="G247" s="83">
        <f t="shared" si="43"/>
        <v>2.5000000000000001E-2</v>
      </c>
      <c r="H247" s="83">
        <f t="shared" si="43"/>
        <v>2.7950310559006212E-2</v>
      </c>
      <c r="I247" s="83">
        <f t="shared" si="43"/>
        <v>2.6946107784431138E-2</v>
      </c>
      <c r="J247" s="83">
        <f t="shared" si="43"/>
        <v>2.6706231454005934E-2</v>
      </c>
      <c r="K247" s="83">
        <f t="shared" si="43"/>
        <v>2.616279069767442E-2</v>
      </c>
      <c r="L247" s="83">
        <f t="shared" si="43"/>
        <v>2.6315789473684209E-2</v>
      </c>
      <c r="M247" s="83">
        <f t="shared" si="43"/>
        <v>2.6785714285714284E-2</v>
      </c>
      <c r="N247" s="83">
        <f t="shared" si="43"/>
        <v>2.3121387283236993E-2</v>
      </c>
      <c r="O247" s="83">
        <f t="shared" si="43"/>
        <v>2.2988505747126436E-2</v>
      </c>
      <c r="P247" s="83">
        <f t="shared" si="43"/>
        <v>2.2922636103151862E-2</v>
      </c>
    </row>
    <row r="248" spans="4:17" ht="26.25" hidden="1" customHeight="1">
      <c r="D248" s="6" t="s">
        <v>1327</v>
      </c>
      <c r="E248" s="83">
        <f>+E225/E$225</f>
        <v>1</v>
      </c>
      <c r="F248" s="83">
        <f t="shared" ref="F248:P248" si="44">+F225/F$225</f>
        <v>1</v>
      </c>
      <c r="G248" s="83">
        <f t="shared" si="44"/>
        <v>1</v>
      </c>
      <c r="H248" s="83">
        <f t="shared" si="44"/>
        <v>1</v>
      </c>
      <c r="I248" s="83">
        <f t="shared" si="44"/>
        <v>1</v>
      </c>
      <c r="J248" s="83">
        <f t="shared" si="44"/>
        <v>1</v>
      </c>
      <c r="K248" s="83">
        <f t="shared" si="44"/>
        <v>1</v>
      </c>
      <c r="L248" s="83">
        <f t="shared" si="44"/>
        <v>1</v>
      </c>
      <c r="M248" s="83">
        <f t="shared" si="44"/>
        <v>1</v>
      </c>
      <c r="N248" s="83">
        <f t="shared" si="44"/>
        <v>1</v>
      </c>
      <c r="O248" s="83">
        <f t="shared" si="44"/>
        <v>1</v>
      </c>
      <c r="P248" s="83">
        <f t="shared" si="44"/>
        <v>1</v>
      </c>
    </row>
    <row r="249" spans="4:17" ht="26.25" hidden="1" customHeight="1">
      <c r="D249" s="403" t="s">
        <v>1328</v>
      </c>
      <c r="E249" s="404">
        <f>-E159</f>
        <v>79504.38</v>
      </c>
      <c r="F249" s="404">
        <f t="shared" ref="F249:P249" si="45">-F159</f>
        <v>69141.86</v>
      </c>
      <c r="G249" s="404">
        <f t="shared" si="45"/>
        <v>68862.5</v>
      </c>
      <c r="H249" s="404">
        <f t="shared" si="45"/>
        <v>71379.44</v>
      </c>
      <c r="I249" s="404">
        <f t="shared" si="45"/>
        <v>73833.349999999991</v>
      </c>
      <c r="J249" s="404">
        <f t="shared" si="45"/>
        <v>68465.62</v>
      </c>
      <c r="K249" s="404">
        <f t="shared" si="45"/>
        <v>68352.179999999993</v>
      </c>
      <c r="L249" s="404">
        <f t="shared" si="45"/>
        <v>68366.5</v>
      </c>
      <c r="M249" s="404">
        <f t="shared" si="45"/>
        <v>68379.06</v>
      </c>
      <c r="N249" s="404">
        <f t="shared" si="45"/>
        <v>76721.97</v>
      </c>
      <c r="O249" s="404">
        <f t="shared" si="45"/>
        <v>68312.01999999999</v>
      </c>
      <c r="P249" s="404">
        <f t="shared" si="45"/>
        <v>68277.38</v>
      </c>
      <c r="Q249" s="405">
        <f>SUM(E249:P249)</f>
        <v>849596.25999999989</v>
      </c>
    </row>
    <row r="250" spans="4:17" ht="26.25" hidden="1" customHeight="1">
      <c r="D250" s="64" t="s">
        <v>1304</v>
      </c>
      <c r="E250" s="402">
        <f>+E$249*E227</f>
        <v>5016.0492113564669</v>
      </c>
      <c r="F250" s="402">
        <f t="shared" ref="F250:P250" si="46">+F$249*F227</f>
        <v>4403.9401273885351</v>
      </c>
      <c r="G250" s="402">
        <f t="shared" si="46"/>
        <v>4303.90625</v>
      </c>
      <c r="H250" s="402">
        <f t="shared" si="46"/>
        <v>4433.5055900621119</v>
      </c>
      <c r="I250" s="402">
        <f t="shared" si="46"/>
        <v>4421.1586826347302</v>
      </c>
      <c r="J250" s="402">
        <f t="shared" si="46"/>
        <v>4063.241543026706</v>
      </c>
      <c r="K250" s="402">
        <f t="shared" si="46"/>
        <v>3973.9639534883718</v>
      </c>
      <c r="L250" s="402">
        <f t="shared" si="46"/>
        <v>3998.0409356725145</v>
      </c>
      <c r="M250" s="402">
        <f t="shared" si="46"/>
        <v>4070.1821428571425</v>
      </c>
      <c r="N250" s="402">
        <f t="shared" si="46"/>
        <v>4434.7959537572251</v>
      </c>
      <c r="O250" s="402">
        <f t="shared" si="46"/>
        <v>3925.9781609195397</v>
      </c>
      <c r="P250" s="402">
        <f t="shared" si="46"/>
        <v>3912.7438395415479</v>
      </c>
    </row>
    <row r="251" spans="4:17" ht="26.25" hidden="1" customHeight="1">
      <c r="D251" s="64" t="s">
        <v>1305</v>
      </c>
      <c r="E251" s="402">
        <f t="shared" ref="E251:P251" si="47">+E$249*E228</f>
        <v>12038.518107255521</v>
      </c>
      <c r="F251" s="402">
        <f t="shared" si="47"/>
        <v>10789.653312101911</v>
      </c>
      <c r="G251" s="402">
        <f t="shared" si="47"/>
        <v>10114.1796875</v>
      </c>
      <c r="H251" s="402">
        <f t="shared" si="47"/>
        <v>10418.738136645963</v>
      </c>
      <c r="I251" s="402">
        <f t="shared" si="47"/>
        <v>10610.780838323351</v>
      </c>
      <c r="J251" s="402">
        <f t="shared" si="47"/>
        <v>9548.6176261127603</v>
      </c>
      <c r="K251" s="402">
        <f t="shared" si="47"/>
        <v>10133.608081395349</v>
      </c>
      <c r="L251" s="402">
        <f t="shared" si="47"/>
        <v>10394.906432748538</v>
      </c>
      <c r="M251" s="402">
        <f t="shared" si="47"/>
        <v>9361.4189285714292</v>
      </c>
      <c r="N251" s="402">
        <f t="shared" si="47"/>
        <v>10865.250086705204</v>
      </c>
      <c r="O251" s="402">
        <f t="shared" si="47"/>
        <v>9422.3475862068954</v>
      </c>
      <c r="P251" s="402">
        <f t="shared" si="47"/>
        <v>9586.2224068767919</v>
      </c>
    </row>
    <row r="252" spans="4:17" ht="26.25" hidden="1" customHeight="1">
      <c r="D252" s="64" t="s">
        <v>1306</v>
      </c>
      <c r="E252" s="402">
        <f t="shared" ref="E252:P252" si="48">+E$249*E229</f>
        <v>1254.0123028391167</v>
      </c>
      <c r="F252" s="402">
        <f t="shared" si="48"/>
        <v>1100.9850318471338</v>
      </c>
      <c r="G252" s="402">
        <f t="shared" si="48"/>
        <v>1075.9765625</v>
      </c>
      <c r="H252" s="402">
        <f t="shared" si="48"/>
        <v>1108.376397515528</v>
      </c>
      <c r="I252" s="402">
        <f t="shared" si="48"/>
        <v>1105.2896706586826</v>
      </c>
      <c r="J252" s="402">
        <f t="shared" si="48"/>
        <v>1015.8103857566765</v>
      </c>
      <c r="K252" s="402">
        <f t="shared" si="48"/>
        <v>993.49098837209294</v>
      </c>
      <c r="L252" s="402">
        <f t="shared" si="48"/>
        <v>999.51023391812862</v>
      </c>
      <c r="M252" s="402">
        <f t="shared" si="48"/>
        <v>1017.5455357142856</v>
      </c>
      <c r="N252" s="402">
        <f t="shared" si="48"/>
        <v>1108.6989884393063</v>
      </c>
      <c r="O252" s="402">
        <f t="shared" si="48"/>
        <v>981.49454022988493</v>
      </c>
      <c r="P252" s="402">
        <f t="shared" si="48"/>
        <v>978.18595988538698</v>
      </c>
    </row>
    <row r="253" spans="4:17" ht="26.25" hidden="1" customHeight="1">
      <c r="D253" s="64" t="s">
        <v>1307</v>
      </c>
      <c r="E253" s="402">
        <f t="shared" ref="E253:P253" si="49">+E$249*E230</f>
        <v>501.60492113564669</v>
      </c>
      <c r="F253" s="402">
        <f t="shared" si="49"/>
        <v>440.39401273885352</v>
      </c>
      <c r="G253" s="402">
        <f t="shared" si="49"/>
        <v>430.390625</v>
      </c>
      <c r="H253" s="402">
        <f t="shared" si="49"/>
        <v>443.35055900621114</v>
      </c>
      <c r="I253" s="402">
        <f t="shared" si="49"/>
        <v>442.11586826347303</v>
      </c>
      <c r="J253" s="402">
        <f t="shared" si="49"/>
        <v>406.32415430267059</v>
      </c>
      <c r="K253" s="402">
        <f t="shared" si="49"/>
        <v>397.39639534883719</v>
      </c>
      <c r="L253" s="402">
        <f t="shared" si="49"/>
        <v>399.80409356725141</v>
      </c>
      <c r="M253" s="402">
        <f t="shared" si="49"/>
        <v>407.01821428571424</v>
      </c>
      <c r="N253" s="402">
        <f t="shared" si="49"/>
        <v>443.47959537572251</v>
      </c>
      <c r="O253" s="402">
        <f t="shared" si="49"/>
        <v>392.59781609195397</v>
      </c>
      <c r="P253" s="402">
        <f t="shared" si="49"/>
        <v>391.27438395415476</v>
      </c>
    </row>
    <row r="254" spans="4:17" ht="26.25" hidden="1" customHeight="1">
      <c r="D254" s="64" t="s">
        <v>1308</v>
      </c>
      <c r="E254" s="402">
        <f t="shared" ref="E254:P254" si="50">+E$249*E231</f>
        <v>501.60492113564669</v>
      </c>
      <c r="F254" s="402">
        <f t="shared" si="50"/>
        <v>440.39401273885352</v>
      </c>
      <c r="G254" s="402">
        <f t="shared" si="50"/>
        <v>430.390625</v>
      </c>
      <c r="H254" s="402">
        <f t="shared" si="50"/>
        <v>443.35055900621114</v>
      </c>
      <c r="I254" s="402">
        <f t="shared" si="50"/>
        <v>442.11586826347303</v>
      </c>
      <c r="J254" s="402">
        <f t="shared" si="50"/>
        <v>406.32415430267059</v>
      </c>
      <c r="K254" s="402">
        <f t="shared" si="50"/>
        <v>397.39639534883719</v>
      </c>
      <c r="L254" s="402">
        <f t="shared" si="50"/>
        <v>399.80409356725141</v>
      </c>
      <c r="M254" s="402">
        <f t="shared" si="50"/>
        <v>407.01821428571424</v>
      </c>
      <c r="N254" s="402">
        <f t="shared" si="50"/>
        <v>443.47959537572251</v>
      </c>
      <c r="O254" s="402">
        <f t="shared" si="50"/>
        <v>392.59781609195397</v>
      </c>
      <c r="P254" s="402">
        <f t="shared" si="50"/>
        <v>391.27438395415476</v>
      </c>
    </row>
    <row r="255" spans="4:17" ht="26.25" hidden="1" customHeight="1">
      <c r="D255" s="64" t="s">
        <v>1309</v>
      </c>
      <c r="E255" s="402">
        <f t="shared" ref="E255:P255" si="51">+E$249*E232</f>
        <v>9028.8885804416404</v>
      </c>
      <c r="F255" s="402">
        <f t="shared" si="51"/>
        <v>7927.0922292993637</v>
      </c>
      <c r="G255" s="402">
        <f t="shared" si="51"/>
        <v>7747.03125</v>
      </c>
      <c r="H255" s="402">
        <f t="shared" si="51"/>
        <v>7980.3100621118019</v>
      </c>
      <c r="I255" s="402">
        <f t="shared" si="51"/>
        <v>7958.085628742514</v>
      </c>
      <c r="J255" s="402">
        <f t="shared" si="51"/>
        <v>7923.3210089020768</v>
      </c>
      <c r="K255" s="402">
        <f t="shared" si="51"/>
        <v>7749.2297093023244</v>
      </c>
      <c r="L255" s="402">
        <f t="shared" si="51"/>
        <v>7796.1798245614027</v>
      </c>
      <c r="M255" s="402">
        <f t="shared" si="51"/>
        <v>7936.855178571429</v>
      </c>
      <c r="N255" s="402">
        <f t="shared" si="51"/>
        <v>8647.8521098265901</v>
      </c>
      <c r="O255" s="402">
        <f t="shared" si="51"/>
        <v>7851.9563218390795</v>
      </c>
      <c r="P255" s="402">
        <f t="shared" si="51"/>
        <v>7825.4876790830958</v>
      </c>
    </row>
    <row r="256" spans="4:17" ht="26.25" hidden="1" customHeight="1">
      <c r="D256" s="64" t="s">
        <v>1310</v>
      </c>
      <c r="E256" s="402">
        <f t="shared" ref="E256:P256" si="52">+E$249*E233</f>
        <v>9279.6910410094642</v>
      </c>
      <c r="F256" s="402">
        <f t="shared" si="52"/>
        <v>10129.062292993631</v>
      </c>
      <c r="G256" s="402">
        <f t="shared" si="52"/>
        <v>7531.8359375</v>
      </c>
      <c r="H256" s="402">
        <f t="shared" si="52"/>
        <v>8423.6606211180133</v>
      </c>
      <c r="I256" s="402">
        <f t="shared" si="52"/>
        <v>8179.1435628742502</v>
      </c>
      <c r="J256" s="402">
        <f t="shared" si="52"/>
        <v>7923.3210089020768</v>
      </c>
      <c r="K256" s="402">
        <f t="shared" si="52"/>
        <v>8146.6261046511618</v>
      </c>
      <c r="L256" s="402">
        <f t="shared" si="52"/>
        <v>8595.7880116959059</v>
      </c>
      <c r="M256" s="402">
        <f t="shared" si="52"/>
        <v>10175.455357142857</v>
      </c>
      <c r="N256" s="402">
        <f t="shared" si="52"/>
        <v>7760.8929190751451</v>
      </c>
      <c r="O256" s="402">
        <f t="shared" si="52"/>
        <v>7066.7606896551715</v>
      </c>
      <c r="P256" s="402">
        <f t="shared" si="52"/>
        <v>7238.5761031518623</v>
      </c>
    </row>
    <row r="257" spans="4:17" ht="26.25" hidden="1" customHeight="1">
      <c r="D257" s="64" t="s">
        <v>1311</v>
      </c>
      <c r="E257" s="402">
        <f t="shared" ref="E257:P257" si="53">+E$249*E234</f>
        <v>6019.2590536277603</v>
      </c>
      <c r="F257" s="402">
        <f t="shared" si="53"/>
        <v>6605.9101910828031</v>
      </c>
      <c r="G257" s="402">
        <f t="shared" si="53"/>
        <v>4734.296875</v>
      </c>
      <c r="H257" s="402">
        <f t="shared" si="53"/>
        <v>5320.2067080745346</v>
      </c>
      <c r="I257" s="402">
        <f t="shared" si="53"/>
        <v>5305.3904191616757</v>
      </c>
      <c r="J257" s="402">
        <f t="shared" si="53"/>
        <v>5079.0519287833822</v>
      </c>
      <c r="K257" s="402">
        <f t="shared" si="53"/>
        <v>5762.2477325581385</v>
      </c>
      <c r="L257" s="402">
        <f t="shared" si="53"/>
        <v>6196.9634502923973</v>
      </c>
      <c r="M257" s="402">
        <f t="shared" si="53"/>
        <v>7326.3278571428564</v>
      </c>
      <c r="N257" s="402">
        <f t="shared" si="53"/>
        <v>5321.7551445086701</v>
      </c>
      <c r="O257" s="402">
        <f t="shared" si="53"/>
        <v>4907.4727011494242</v>
      </c>
      <c r="P257" s="402">
        <f t="shared" si="53"/>
        <v>5086.5669914040118</v>
      </c>
    </row>
    <row r="258" spans="4:17" ht="26.25" hidden="1" customHeight="1">
      <c r="D258" s="64" t="s">
        <v>1312</v>
      </c>
      <c r="E258" s="402">
        <f t="shared" ref="E258:P258" si="54">+E$249*E235</f>
        <v>5768.4565930599374</v>
      </c>
      <c r="F258" s="402">
        <f t="shared" si="54"/>
        <v>1100.9850318471338</v>
      </c>
      <c r="G258" s="402">
        <f t="shared" si="54"/>
        <v>6025.46875</v>
      </c>
      <c r="H258" s="402">
        <f t="shared" si="54"/>
        <v>5098.5314285714285</v>
      </c>
      <c r="I258" s="402">
        <f t="shared" si="54"/>
        <v>7294.9118263473047</v>
      </c>
      <c r="J258" s="402">
        <f t="shared" si="54"/>
        <v>6298.0243916913942</v>
      </c>
      <c r="K258" s="402">
        <f t="shared" si="54"/>
        <v>5563.5495348837212</v>
      </c>
      <c r="L258" s="402">
        <f t="shared" si="54"/>
        <v>4197.9429824561403</v>
      </c>
      <c r="M258" s="402">
        <f t="shared" si="54"/>
        <v>1831.5819642857141</v>
      </c>
      <c r="N258" s="402">
        <f t="shared" si="54"/>
        <v>9313.0715028901723</v>
      </c>
      <c r="O258" s="402">
        <f t="shared" si="54"/>
        <v>8833.4508620689649</v>
      </c>
      <c r="P258" s="402">
        <f t="shared" si="54"/>
        <v>8412.3992550143266</v>
      </c>
    </row>
    <row r="259" spans="4:17" ht="26.25" hidden="1" customHeight="1">
      <c r="D259" s="64" t="s">
        <v>1313</v>
      </c>
      <c r="E259" s="402">
        <f t="shared" ref="E259:P259" si="55">+E$249*E236</f>
        <v>752.40738170347004</v>
      </c>
      <c r="F259" s="402">
        <f t="shared" si="55"/>
        <v>660.59101910828019</v>
      </c>
      <c r="G259" s="402">
        <f t="shared" si="55"/>
        <v>645.5859375</v>
      </c>
      <c r="H259" s="402">
        <f t="shared" si="55"/>
        <v>665.02583850931683</v>
      </c>
      <c r="I259" s="402">
        <f t="shared" si="55"/>
        <v>663.17380239520946</v>
      </c>
      <c r="J259" s="402">
        <f t="shared" si="55"/>
        <v>609.48623145400586</v>
      </c>
      <c r="K259" s="402">
        <f t="shared" si="55"/>
        <v>596.0945930232557</v>
      </c>
      <c r="L259" s="402">
        <f t="shared" si="55"/>
        <v>599.70614035087715</v>
      </c>
      <c r="M259" s="402">
        <f t="shared" si="55"/>
        <v>610.52732142857133</v>
      </c>
      <c r="N259" s="402">
        <f t="shared" si="55"/>
        <v>665.21939306358377</v>
      </c>
      <c r="O259" s="402">
        <f t="shared" si="55"/>
        <v>588.89672413793096</v>
      </c>
      <c r="P259" s="402">
        <f t="shared" si="55"/>
        <v>586.91157593123216</v>
      </c>
    </row>
    <row r="260" spans="4:17" ht="26.25" hidden="1" customHeight="1">
      <c r="D260" s="64" t="s">
        <v>1314</v>
      </c>
      <c r="E260" s="402">
        <f t="shared" ref="E260:P260" si="56">+E$249*E237</f>
        <v>4514.4442902208202</v>
      </c>
      <c r="F260" s="402">
        <f t="shared" si="56"/>
        <v>3743.3491082802548</v>
      </c>
      <c r="G260" s="402">
        <f t="shared" si="56"/>
        <v>4088.7109375</v>
      </c>
      <c r="H260" s="402">
        <f t="shared" si="56"/>
        <v>4211.8303105590066</v>
      </c>
      <c r="I260" s="402">
        <f t="shared" si="56"/>
        <v>4200.1007485029932</v>
      </c>
      <c r="J260" s="402">
        <f t="shared" si="56"/>
        <v>3656.9173887240354</v>
      </c>
      <c r="K260" s="402">
        <f t="shared" si="56"/>
        <v>3576.5675581395349</v>
      </c>
      <c r="L260" s="402">
        <f t="shared" si="56"/>
        <v>3598.2368421052629</v>
      </c>
      <c r="M260" s="402">
        <f t="shared" si="56"/>
        <v>3663.1639285714282</v>
      </c>
      <c r="N260" s="402">
        <f t="shared" si="56"/>
        <v>4434.7959537572251</v>
      </c>
      <c r="O260" s="402">
        <f t="shared" si="56"/>
        <v>3925.9781609195397</v>
      </c>
      <c r="P260" s="402">
        <f t="shared" si="56"/>
        <v>3912.7438395415479</v>
      </c>
    </row>
    <row r="261" spans="4:17" ht="26.25" hidden="1" customHeight="1">
      <c r="D261" s="64" t="s">
        <v>1315</v>
      </c>
      <c r="E261" s="402">
        <f t="shared" ref="E261:P261" si="57">+E$249*E238</f>
        <v>2257.2221451104101</v>
      </c>
      <c r="F261" s="402">
        <f t="shared" si="57"/>
        <v>1981.7730573248409</v>
      </c>
      <c r="G261" s="402">
        <f t="shared" si="57"/>
        <v>1936.7578125</v>
      </c>
      <c r="H261" s="402">
        <f t="shared" si="57"/>
        <v>2216.7527950310559</v>
      </c>
      <c r="I261" s="402">
        <f t="shared" si="57"/>
        <v>2652.6952095808379</v>
      </c>
      <c r="J261" s="402">
        <f t="shared" si="57"/>
        <v>2437.9449258160234</v>
      </c>
      <c r="K261" s="402">
        <f t="shared" si="57"/>
        <v>2384.3783720930228</v>
      </c>
      <c r="L261" s="402">
        <f t="shared" si="57"/>
        <v>2398.8245614035086</v>
      </c>
      <c r="M261" s="402">
        <f t="shared" si="57"/>
        <v>2442.1092857142853</v>
      </c>
      <c r="N261" s="402">
        <f t="shared" si="57"/>
        <v>2660.8775722543351</v>
      </c>
      <c r="O261" s="402">
        <f t="shared" si="57"/>
        <v>1766.6901724137929</v>
      </c>
      <c r="P261" s="402">
        <f t="shared" si="57"/>
        <v>1760.7347277936965</v>
      </c>
    </row>
    <row r="262" spans="4:17" ht="26.25" hidden="1" customHeight="1">
      <c r="D262" s="64" t="s">
        <v>1316</v>
      </c>
      <c r="E262" s="402">
        <f t="shared" ref="E262:P262" si="58">+E$249*E239</f>
        <v>1254.0123028391167</v>
      </c>
      <c r="F262" s="402">
        <f t="shared" si="58"/>
        <v>1100.9850318471338</v>
      </c>
      <c r="G262" s="402">
        <f t="shared" si="58"/>
        <v>1075.9765625</v>
      </c>
      <c r="H262" s="402">
        <f t="shared" si="58"/>
        <v>1108.376397515528</v>
      </c>
      <c r="I262" s="402">
        <f t="shared" si="58"/>
        <v>1105.2896706586826</v>
      </c>
      <c r="J262" s="402">
        <f t="shared" si="58"/>
        <v>1015.8103857566765</v>
      </c>
      <c r="K262" s="402">
        <f t="shared" si="58"/>
        <v>993.49098837209294</v>
      </c>
      <c r="L262" s="402">
        <f t="shared" si="58"/>
        <v>999.51023391812862</v>
      </c>
      <c r="M262" s="402">
        <f t="shared" si="58"/>
        <v>1017.5455357142856</v>
      </c>
      <c r="N262" s="402">
        <f t="shared" si="58"/>
        <v>1108.6989884393063</v>
      </c>
      <c r="O262" s="402">
        <f t="shared" si="58"/>
        <v>981.49454022988493</v>
      </c>
      <c r="P262" s="402">
        <f t="shared" si="58"/>
        <v>978.18595988538698</v>
      </c>
    </row>
    <row r="263" spans="4:17" ht="26.25" hidden="1" customHeight="1">
      <c r="D263" s="64" t="s">
        <v>1318</v>
      </c>
      <c r="E263" s="402">
        <f t="shared" ref="E263:P263" si="59">+E$249*E240</f>
        <v>3511.2344479495273</v>
      </c>
      <c r="F263" s="402">
        <f t="shared" si="59"/>
        <v>3082.7580891719745</v>
      </c>
      <c r="G263" s="402">
        <f t="shared" si="59"/>
        <v>3012.734375</v>
      </c>
      <c r="H263" s="402">
        <f t="shared" si="59"/>
        <v>3103.4539130434782</v>
      </c>
      <c r="I263" s="402">
        <f t="shared" si="59"/>
        <v>3094.8110778443106</v>
      </c>
      <c r="J263" s="402">
        <f t="shared" si="59"/>
        <v>2844.2690801186941</v>
      </c>
      <c r="K263" s="402">
        <f t="shared" si="59"/>
        <v>2781.7747674418606</v>
      </c>
      <c r="L263" s="402">
        <f t="shared" si="59"/>
        <v>2798.6286549707602</v>
      </c>
      <c r="M263" s="402">
        <f t="shared" si="59"/>
        <v>2849.1274999999996</v>
      </c>
      <c r="N263" s="402">
        <f t="shared" si="59"/>
        <v>3104.357167630058</v>
      </c>
      <c r="O263" s="402">
        <f t="shared" si="59"/>
        <v>2748.1847126436778</v>
      </c>
      <c r="P263" s="402">
        <f t="shared" si="59"/>
        <v>2738.9206876790836</v>
      </c>
    </row>
    <row r="264" spans="4:17" ht="26.25" hidden="1" customHeight="1">
      <c r="D264" s="64" t="s">
        <v>1319</v>
      </c>
      <c r="E264" s="402">
        <f t="shared" ref="E264:P264" si="60">+E$249*E241</f>
        <v>2006.4196845425868</v>
      </c>
      <c r="F264" s="402">
        <f t="shared" si="60"/>
        <v>1761.5760509554141</v>
      </c>
      <c r="G264" s="402">
        <f t="shared" si="60"/>
        <v>1721.5625</v>
      </c>
      <c r="H264" s="402">
        <f t="shared" si="60"/>
        <v>1773.4022360248446</v>
      </c>
      <c r="I264" s="402">
        <f t="shared" si="60"/>
        <v>1768.4634730538921</v>
      </c>
      <c r="J264" s="402">
        <f t="shared" si="60"/>
        <v>1625.2966172106824</v>
      </c>
      <c r="K264" s="402">
        <f t="shared" si="60"/>
        <v>1589.5855813953488</v>
      </c>
      <c r="L264" s="402">
        <f t="shared" si="60"/>
        <v>1599.2163742690057</v>
      </c>
      <c r="M264" s="402">
        <f t="shared" si="60"/>
        <v>1628.0728571428569</v>
      </c>
      <c r="N264" s="402">
        <f t="shared" si="60"/>
        <v>1773.91838150289</v>
      </c>
      <c r="O264" s="402">
        <f t="shared" si="60"/>
        <v>1570.3912643678159</v>
      </c>
      <c r="P264" s="402">
        <f t="shared" si="60"/>
        <v>1565.097535816619</v>
      </c>
    </row>
    <row r="265" spans="4:17" ht="26.25" hidden="1" customHeight="1">
      <c r="D265" s="64" t="s">
        <v>1320</v>
      </c>
      <c r="E265" s="402">
        <f t="shared" ref="E265:P265" si="61">+E$249*E242</f>
        <v>4765.246750788644</v>
      </c>
      <c r="F265" s="402">
        <f t="shared" si="61"/>
        <v>4183.743121019108</v>
      </c>
      <c r="G265" s="402">
        <f t="shared" si="61"/>
        <v>4088.7109375</v>
      </c>
      <c r="H265" s="402">
        <f t="shared" si="61"/>
        <v>4211.8303105590066</v>
      </c>
      <c r="I265" s="402">
        <f t="shared" si="61"/>
        <v>4200.1007485029932</v>
      </c>
      <c r="J265" s="402">
        <f t="shared" si="61"/>
        <v>3860.0794658753703</v>
      </c>
      <c r="K265" s="402">
        <f t="shared" si="61"/>
        <v>3775.2657558139531</v>
      </c>
      <c r="L265" s="402">
        <f t="shared" si="61"/>
        <v>3798.1388888888887</v>
      </c>
      <c r="M265" s="402">
        <f t="shared" si="61"/>
        <v>3866.6730357142856</v>
      </c>
      <c r="N265" s="402">
        <f t="shared" si="61"/>
        <v>4213.0561560693641</v>
      </c>
      <c r="O265" s="402">
        <f t="shared" si="61"/>
        <v>3729.6792528735627</v>
      </c>
      <c r="P265" s="402">
        <f t="shared" si="61"/>
        <v>3717.1066475644702</v>
      </c>
    </row>
    <row r="266" spans="4:17" ht="26.25" hidden="1" customHeight="1">
      <c r="D266" s="64" t="s">
        <v>1321</v>
      </c>
      <c r="E266" s="402">
        <f t="shared" ref="E266:P266" si="62">+E$249*E243</f>
        <v>250.80246056782335</v>
      </c>
      <c r="F266" s="402">
        <f t="shared" si="62"/>
        <v>220.19700636942676</v>
      </c>
      <c r="G266" s="402">
        <f t="shared" si="62"/>
        <v>215.1953125</v>
      </c>
      <c r="H266" s="402">
        <f t="shared" si="62"/>
        <v>221.67527950310557</v>
      </c>
      <c r="I266" s="402">
        <f t="shared" si="62"/>
        <v>221.05793413173652</v>
      </c>
      <c r="J266" s="402">
        <f t="shared" si="62"/>
        <v>203.1620771513353</v>
      </c>
      <c r="K266" s="402">
        <f t="shared" si="62"/>
        <v>198.69819767441859</v>
      </c>
      <c r="L266" s="402">
        <f t="shared" si="62"/>
        <v>199.90204678362571</v>
      </c>
      <c r="M266" s="402">
        <f t="shared" si="62"/>
        <v>203.50910714285712</v>
      </c>
      <c r="N266" s="402">
        <f t="shared" si="62"/>
        <v>221.73979768786126</v>
      </c>
      <c r="O266" s="402">
        <f t="shared" si="62"/>
        <v>196.29890804597699</v>
      </c>
      <c r="P266" s="402">
        <f t="shared" si="62"/>
        <v>195.63719197707738</v>
      </c>
    </row>
    <row r="267" spans="4:17" ht="26.25" hidden="1" customHeight="1">
      <c r="D267" s="64" t="s">
        <v>1317</v>
      </c>
      <c r="E267" s="402">
        <f t="shared" ref="E267:P267" si="63">+E$249*E244</f>
        <v>4765.246750788644</v>
      </c>
      <c r="F267" s="402">
        <f t="shared" si="63"/>
        <v>4183.743121019108</v>
      </c>
      <c r="G267" s="402">
        <f t="shared" si="63"/>
        <v>4519.1015625</v>
      </c>
      <c r="H267" s="402">
        <f t="shared" si="63"/>
        <v>4655.1808695652171</v>
      </c>
      <c r="I267" s="402">
        <f t="shared" si="63"/>
        <v>4642.2166167664664</v>
      </c>
      <c r="J267" s="402">
        <f t="shared" si="63"/>
        <v>4469.5656973293771</v>
      </c>
      <c r="K267" s="402">
        <f t="shared" si="63"/>
        <v>4371.3603488372091</v>
      </c>
      <c r="L267" s="402">
        <f t="shared" si="63"/>
        <v>4397.8450292397656</v>
      </c>
      <c r="M267" s="402">
        <f t="shared" si="63"/>
        <v>4477.2003571428568</v>
      </c>
      <c r="N267" s="402">
        <f t="shared" si="63"/>
        <v>4878.2755491329481</v>
      </c>
      <c r="O267" s="402">
        <f t="shared" si="63"/>
        <v>4318.5759770114937</v>
      </c>
      <c r="P267" s="402">
        <f t="shared" si="63"/>
        <v>4304.0182234957019</v>
      </c>
    </row>
    <row r="268" spans="4:17" ht="26.25" hidden="1" customHeight="1">
      <c r="D268" s="64" t="s">
        <v>1322</v>
      </c>
      <c r="E268" s="402">
        <f t="shared" ref="E268:P268" si="64">+E$249*E245</f>
        <v>4012.8393690851735</v>
      </c>
      <c r="F268" s="402">
        <f t="shared" si="64"/>
        <v>3523.1521019108282</v>
      </c>
      <c r="G268" s="402">
        <f t="shared" si="64"/>
        <v>3443.125</v>
      </c>
      <c r="H268" s="402">
        <f t="shared" si="64"/>
        <v>3546.8044720496891</v>
      </c>
      <c r="I268" s="402">
        <f t="shared" si="64"/>
        <v>3536.9269461077843</v>
      </c>
      <c r="J268" s="402">
        <f t="shared" si="64"/>
        <v>3250.5932344213647</v>
      </c>
      <c r="K268" s="402">
        <f t="shared" si="64"/>
        <v>3179.1711627906975</v>
      </c>
      <c r="L268" s="402">
        <f t="shared" si="64"/>
        <v>3198.4327485380113</v>
      </c>
      <c r="M268" s="402">
        <f t="shared" si="64"/>
        <v>3256.1457142857139</v>
      </c>
      <c r="N268" s="402">
        <f t="shared" si="64"/>
        <v>3547.8367630057801</v>
      </c>
      <c r="O268" s="402">
        <f t="shared" si="64"/>
        <v>3140.7825287356318</v>
      </c>
      <c r="P268" s="402">
        <f t="shared" si="64"/>
        <v>3130.1950716332381</v>
      </c>
    </row>
    <row r="269" spans="4:17" ht="26.25" hidden="1" customHeight="1">
      <c r="D269" s="64" t="s">
        <v>1323</v>
      </c>
      <c r="E269" s="402">
        <f t="shared" ref="E269:P269" si="65">+E$249*E246</f>
        <v>0</v>
      </c>
      <c r="F269" s="402">
        <f t="shared" si="65"/>
        <v>0</v>
      </c>
      <c r="G269" s="402">
        <f t="shared" si="65"/>
        <v>0</v>
      </c>
      <c r="H269" s="402">
        <f t="shared" si="65"/>
        <v>0</v>
      </c>
      <c r="I269" s="402">
        <f t="shared" si="65"/>
        <v>0</v>
      </c>
      <c r="J269" s="402">
        <f t="shared" si="65"/>
        <v>0</v>
      </c>
      <c r="K269" s="402">
        <f t="shared" si="65"/>
        <v>0</v>
      </c>
      <c r="L269" s="402">
        <f t="shared" si="65"/>
        <v>0</v>
      </c>
      <c r="M269" s="402">
        <f t="shared" si="65"/>
        <v>0</v>
      </c>
      <c r="N269" s="402">
        <f t="shared" si="65"/>
        <v>0</v>
      </c>
      <c r="O269" s="402">
        <f t="shared" si="65"/>
        <v>0</v>
      </c>
      <c r="P269" s="402">
        <f t="shared" si="65"/>
        <v>0</v>
      </c>
    </row>
    <row r="270" spans="4:17" ht="26.25" hidden="1" customHeight="1">
      <c r="D270" s="64" t="s">
        <v>1329</v>
      </c>
      <c r="E270" s="402">
        <f t="shared" ref="E270:P270" si="66">+E$249*E247</f>
        <v>2006.4196845425868</v>
      </c>
      <c r="F270" s="402">
        <f t="shared" si="66"/>
        <v>1761.5760509554141</v>
      </c>
      <c r="G270" s="402">
        <f t="shared" si="66"/>
        <v>1721.5625</v>
      </c>
      <c r="H270" s="402">
        <f t="shared" si="66"/>
        <v>1995.0775155279505</v>
      </c>
      <c r="I270" s="402">
        <f t="shared" si="66"/>
        <v>1989.5214071856285</v>
      </c>
      <c r="J270" s="402">
        <f t="shared" si="66"/>
        <v>1828.4586943620177</v>
      </c>
      <c r="K270" s="402">
        <f t="shared" si="66"/>
        <v>1788.2837790697674</v>
      </c>
      <c r="L270" s="402">
        <f t="shared" si="66"/>
        <v>1799.1184210526314</v>
      </c>
      <c r="M270" s="402">
        <f t="shared" si="66"/>
        <v>1831.5819642857141</v>
      </c>
      <c r="N270" s="402">
        <f t="shared" si="66"/>
        <v>1773.91838150289</v>
      </c>
      <c r="O270" s="402">
        <f t="shared" si="66"/>
        <v>1570.3912643678159</v>
      </c>
      <c r="P270" s="402">
        <f t="shared" si="66"/>
        <v>1565.097535816619</v>
      </c>
    </row>
    <row r="271" spans="4:17" ht="26.25" hidden="1" customHeight="1">
      <c r="D271" s="6" t="s">
        <v>1327</v>
      </c>
      <c r="E271" s="402">
        <f t="shared" ref="E271:P271" si="67">+E$249*E248</f>
        <v>79504.38</v>
      </c>
      <c r="F271" s="402">
        <f t="shared" si="67"/>
        <v>69141.86</v>
      </c>
      <c r="G271" s="402">
        <f t="shared" si="67"/>
        <v>68862.5</v>
      </c>
      <c r="H271" s="402">
        <f t="shared" si="67"/>
        <v>71379.44</v>
      </c>
      <c r="I271" s="402">
        <f t="shared" si="67"/>
        <v>73833.349999999991</v>
      </c>
      <c r="J271" s="402">
        <f t="shared" si="67"/>
        <v>68465.62</v>
      </c>
      <c r="K271" s="402">
        <f t="shared" si="67"/>
        <v>68352.179999999993</v>
      </c>
      <c r="L271" s="402">
        <f t="shared" si="67"/>
        <v>68366.5</v>
      </c>
      <c r="M271" s="402">
        <f t="shared" si="67"/>
        <v>68379.06</v>
      </c>
      <c r="N271" s="402">
        <f t="shared" si="67"/>
        <v>76721.97</v>
      </c>
      <c r="O271" s="402">
        <f t="shared" si="67"/>
        <v>68312.01999999999</v>
      </c>
      <c r="P271" s="402">
        <f t="shared" si="67"/>
        <v>68277.38</v>
      </c>
      <c r="Q271" s="5">
        <f>SUM(E271:P271)</f>
        <v>849596.25999999989</v>
      </c>
    </row>
    <row r="272" spans="4:17" ht="26.25" hidden="1" customHeight="1"/>
    <row r="273" ht="26.25" hidden="1" customHeight="1"/>
  </sheetData>
  <phoneticPr fontId="56" type="noConversion"/>
  <dataValidations count="33">
    <dataValidation type="textLength" errorStyle="information" allowBlank="1" showInputMessage="1" showErrorMessage="1" sqref="F160:I161 Q192:R193 E159:E161 E192:P194 F159:Q159">
      <formula1>0</formula1>
      <formula2>300</formula2>
    </dataValidation>
    <dataValidation type="textLength" errorStyle="information" allowBlank="1" showInputMessage="1" showErrorMessage="1" error="XLBVal:6=-11.97_x000d__x000a_" sqref="E35:P35">
      <formula1>0</formula1>
      <formula2>300</formula2>
    </dataValidation>
    <dataValidation type="textLength" errorStyle="information" allowBlank="1" showInputMessage="1" showErrorMessage="1" error="XLBVal:6=170458.81_x000d__x000a_" sqref="E12:P12">
      <formula1>0</formula1>
      <formula2>300</formula2>
    </dataValidation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0_x000d__x000a_" sqref="E157:R157">
      <formula1>0</formula1>
      <formula2>300</formula2>
    </dataValidation>
    <dataValidation type="textLength" errorStyle="information" allowBlank="1" showInputMessage="1" showErrorMessage="1" error="XLBVal:6=6966993_x000d__x000a_" sqref="Q12">
      <formula1>0</formula1>
      <formula2>300</formula2>
    </dataValidation>
    <dataValidation type="textLength" errorStyle="information" allowBlank="1" showInputMessage="1" showErrorMessage="1" error="XLBVal:2=0_x000d__x000a_" sqref="R12 Q158 R195 R197 Q162:R163 E182:P182 E185:Q190 R175:R182 R185:R191 Q15:R156 E36:P42 E168:P172 E15:P34 Q166:R172 F13:F14 E44:P155">
      <formula1>0</formula1>
      <formula2>300</formula2>
    </dataValidation>
    <dataValidation type="textLength" errorStyle="information" allowBlank="1" showInputMessage="1" showErrorMessage="1" error="XLBVal:6=12932.08_x000d__x000a_" sqref="E43:P43">
      <formula1>0</formula1>
      <formula2>300</formula2>
    </dataValidation>
    <dataValidation type="textLength" errorStyle="information" allowBlank="1" showInputMessage="1" showErrorMessage="1" error="XLBVal:6=196_x000d__x000a_" sqref="E156:P156">
      <formula1>0</formula1>
      <formula2>300</formula2>
    </dataValidation>
    <dataValidation type="textLength" errorStyle="information" allowBlank="1" showInputMessage="1" showErrorMessage="1" error="XLBVal:6=-160436.36_x000d__x000a_" sqref="E158:P158">
      <formula1>0</formula1>
      <formula2>300</formula2>
    </dataValidation>
    <dataValidation type="textLength" errorStyle="information" allowBlank="1" showInputMessage="1" showErrorMessage="1" error="XLBVal:6=3239.86_x000d__x000a_" sqref="R158">
      <formula1>0</formula1>
      <formula2>300</formula2>
    </dataValidation>
    <dataValidation type="textLength" errorStyle="information" allowBlank="1" showInputMessage="1" showErrorMessage="1" error="XLBVal:6=550248_x000d__x000a_" sqref="Q191 Q175:Q182">
      <formula1>0</formula1>
      <formula2>300</formula2>
    </dataValidation>
    <dataValidation type="textLength" errorStyle="information" allowBlank="1" showInputMessage="1" showErrorMessage="1" error="XLBVal:6=360_x000d__x000a_" sqref="Q195 Q197">
      <formula1>0</formula1>
      <formula2>300</formula2>
    </dataValidation>
    <dataValidation type="textLength" errorStyle="information" allowBlank="1" showInputMessage="1" showErrorMessage="1" error="XLBVal:6=5472444.64_x000d__x000a_" sqref="E196:Q196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3678_x000d__x000a_" sqref="E183:R184">
      <formula1>0</formula1>
      <formula2>300</formula2>
    </dataValidation>
    <dataValidation type="textLength" errorStyle="information" allowBlank="1" showInputMessage="1" showErrorMessage="1" error="XLBVal:6=2982_x000d__x000a_" sqref="E191:P191">
      <formula1>0</formula1>
      <formula2>300</formula2>
    </dataValidation>
    <dataValidation type="textLength" errorStyle="information" allowBlank="1" showInputMessage="1" showErrorMessage="1" error="XLBVal:6=326.62_x000d__x000a_" sqref="E181:P181">
      <formula1>0</formula1>
      <formula2>300</formula2>
    </dataValidation>
    <dataValidation type="textLength" errorStyle="information" allowBlank="1" showInputMessage="1" showErrorMessage="1" error="XLBVal:6=148.16_x000d__x000a_" sqref="E179:P179">
      <formula1>0</formula1>
      <formula2>300</formula2>
    </dataValidation>
    <dataValidation type="textLength" errorStyle="information" allowBlank="1" showInputMessage="1" showErrorMessage="1" error="XLBVal:6=4_x000d__x000a_" sqref="E195:P195">
      <formula1>0</formula1>
      <formula2>300</formula2>
    </dataValidation>
    <dataValidation type="textLength" errorStyle="information" allowBlank="1" showInputMessage="1" showErrorMessage="1" error="XLBVal:6=1688_x000d__x000a_" sqref="E180:P180">
      <formula1>0</formula1>
      <formula2>300</formula2>
    </dataValidation>
    <dataValidation type="textLength" errorStyle="information" allowBlank="1" showInputMessage="1" showErrorMessage="1" error="XLBVal:6=77.02_x000d__x000a_" sqref="E178:P178">
      <formula1>0</formula1>
      <formula2>300</formula2>
    </dataValidation>
    <dataValidation type="textLength" errorStyle="information" allowBlank="1" showInputMessage="1" showErrorMessage="1" error="XLBVal:6=96.26_x000d__x000a_" sqref="E177:P177">
      <formula1>0</formula1>
      <formula2>300</formula2>
    </dataValidation>
    <dataValidation type="textLength" errorStyle="information" allowBlank="1" showInputMessage="1" showErrorMessage="1" error="XLBVal:6=1481.6_x000d__x000a_" sqref="E176:P176">
      <formula1>0</formula1>
      <formula2>300</formula2>
    </dataValidation>
    <dataValidation type="textLength" errorStyle="information" allowBlank="1" showInputMessage="1" showErrorMessage="1" error="XLBVal:6=3080.32_x000d__x000a_" sqref="E175:P175">
      <formula1>0</formula1>
      <formula2>300</formula2>
    </dataValidation>
    <dataValidation type="textLength" errorStyle="information" allowBlank="1" showInputMessage="1" showErrorMessage="1" error="XLBVal:6=1131.03_x000d__x000a_" sqref="E166:P166">
      <formula1>0</formula1>
      <formula2>300</formula2>
    </dataValidation>
    <dataValidation type="textLength" errorStyle="information" allowBlank="1" showInputMessage="1" showErrorMessage="1" error="XLBVal:6=10000_x000d__x000a_" sqref="E163:P163">
      <formula1>0</formula1>
      <formula2>300</formula2>
    </dataValidation>
    <dataValidation type="textLength" errorStyle="information" allowBlank="1" showInputMessage="1" showErrorMessage="1" error="XLBVal:6=5200_x000d__x000a_" sqref="E162:P162">
      <formula1>0</formula1>
      <formula2>300</formula2>
    </dataValidation>
    <dataValidation type="textLength" errorStyle="information" allowBlank="1" showInputMessage="1" showErrorMessage="1" error="XLBVal:6=1266.66_x000d__x000a_" sqref="E167:P167">
      <formula1>0</formula1>
      <formula2>300</formula2>
    </dataValidation>
    <dataValidation type="textLength" errorStyle="information" allowBlank="1" showInputMessage="1" showErrorMessage="1" error="XLBVal:6=467_x000d__x000a_" sqref="P199:P200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tabColor rgb="FFFFC000"/>
  </sheetPr>
  <dimension ref="A1:AA199"/>
  <sheetViews>
    <sheetView zoomScale="55" zoomScaleNormal="55" zoomScaleSheetLayoutView="55" workbookViewId="0">
      <pane xSplit="4" ySplit="9" topLeftCell="E64" activePane="bottomRight" state="frozen"/>
      <selection activeCell="D9" sqref="D9"/>
      <selection pane="topRight" activeCell="D9" sqref="D9"/>
      <selection pane="bottomLeft" activeCell="D9" sqref="D9"/>
      <selection pane="bottomRight" activeCell="Q159" sqref="Q159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66.6328125" style="6" customWidth="1" collapsed="1"/>
    <col min="5" max="6" width="22.453125" style="7" customWidth="1"/>
    <col min="7" max="7" width="21.08984375" style="7" customWidth="1"/>
    <col min="8" max="8" width="23.08984375" style="7" customWidth="1"/>
    <col min="9" max="9" width="22.90625" style="7" customWidth="1"/>
    <col min="10" max="10" width="21.90625" style="5" customWidth="1"/>
    <col min="11" max="11" width="22.6328125" style="5" customWidth="1"/>
    <col min="12" max="12" width="22.90625" style="5" customWidth="1"/>
    <col min="13" max="13" width="24.6328125" style="5" customWidth="1"/>
    <col min="14" max="15" width="23.36328125" style="5" customWidth="1"/>
    <col min="16" max="16" width="23.453125" style="5" customWidth="1"/>
    <col min="17" max="17" width="24.453125" style="5" customWidth="1"/>
    <col min="18" max="18" width="12" style="5" customWidth="1"/>
    <col min="19" max="19" width="9.6328125" style="5" hidden="1" customWidth="1"/>
    <col min="20" max="20" width="22.453125" style="8" hidden="1" customWidth="1"/>
    <col min="21" max="21" width="22.453125" style="5" hidden="1" customWidth="1"/>
    <col min="22" max="22" width="50.36328125" style="5" hidden="1" customWidth="1"/>
    <col min="23" max="23" width="30" style="5" hidden="1" customWidth="1"/>
    <col min="24" max="24" width="13.7265625" style="5" bestFit="1" customWidth="1"/>
    <col min="25" max="25" width="22" style="5" customWidth="1"/>
    <col min="26" max="27" width="22.453125" style="5" customWidth="1"/>
    <col min="28" max="16384" width="8.90625" style="5"/>
  </cols>
  <sheetData>
    <row r="1" spans="1:21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</row>
    <row r="2" spans="1:21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</row>
    <row r="3" spans="1:21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</row>
    <row r="4" spans="1:21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T4" s="33"/>
    </row>
    <row r="5" spans="1:21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T5" s="33"/>
    </row>
    <row r="6" spans="1:21" s="2" customFormat="1" ht="25.4" customHeight="1">
      <c r="D6" s="14" t="s">
        <v>1033</v>
      </c>
      <c r="E6" s="13"/>
      <c r="F6" s="13"/>
      <c r="G6" s="13"/>
      <c r="H6" s="13"/>
      <c r="I6" s="13"/>
      <c r="T6" s="33"/>
    </row>
    <row r="7" spans="1:21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</row>
    <row r="8" spans="1:21" ht="25.4" customHeight="1">
      <c r="D8" s="16"/>
    </row>
    <row r="9" spans="1:21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 t="s">
        <v>23</v>
      </c>
      <c r="T9" s="35"/>
    </row>
    <row r="10" spans="1:21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T10" s="36" t="s">
        <v>23</v>
      </c>
      <c r="U10" s="37" t="s">
        <v>24</v>
      </c>
    </row>
    <row r="11" spans="1:21" s="3" customFormat="1" ht="25.4" customHeight="1">
      <c r="D11" s="21"/>
      <c r="E11" s="22"/>
      <c r="F11" s="22"/>
      <c r="G11" s="22"/>
      <c r="H11" s="23"/>
      <c r="I11" s="23"/>
      <c r="T11" s="35"/>
    </row>
    <row r="12" spans="1:21" s="3" customFormat="1" ht="25.4" customHeight="1">
      <c r="A12" s="3" t="s">
        <v>466</v>
      </c>
      <c r="B12" s="3" t="s">
        <v>1034</v>
      </c>
      <c r="D12" s="21" t="s">
        <v>139</v>
      </c>
      <c r="E12" s="43">
        <f>+E191</f>
        <v>92175.26999999999</v>
      </c>
      <c r="F12" s="43">
        <f t="shared" ref="F12:P12" si="0">+F191</f>
        <v>83446.899999999994</v>
      </c>
      <c r="G12" s="43">
        <f t="shared" si="0"/>
        <v>83184.570000000007</v>
      </c>
      <c r="H12" s="43">
        <f t="shared" si="0"/>
        <v>85831.6</v>
      </c>
      <c r="I12" s="43">
        <f t="shared" si="0"/>
        <v>86786.569999999992</v>
      </c>
      <c r="J12" s="43">
        <f t="shared" si="0"/>
        <v>82796.849999999991</v>
      </c>
      <c r="K12" s="43">
        <f t="shared" si="0"/>
        <v>82693.36</v>
      </c>
      <c r="L12" s="43">
        <f t="shared" si="0"/>
        <v>82708.37</v>
      </c>
      <c r="M12" s="43">
        <f t="shared" si="0"/>
        <v>82717.78</v>
      </c>
      <c r="N12" s="43">
        <f t="shared" si="0"/>
        <v>89824.41</v>
      </c>
      <c r="O12" s="43">
        <f t="shared" si="0"/>
        <v>82664.06</v>
      </c>
      <c r="P12" s="43">
        <f t="shared" si="0"/>
        <v>82631.48</v>
      </c>
      <c r="Q12" s="43">
        <f>SUM(E12:P12)</f>
        <v>1017461.22</v>
      </c>
      <c r="R12" s="39">
        <f>Q12/Summary!$Q$16</f>
        <v>1.2774114188195355E-2</v>
      </c>
      <c r="S12" s="39">
        <v>4.3597577033727894E-3</v>
      </c>
      <c r="T12" s="35"/>
      <c r="U12" s="40" t="e">
        <f>-IF(Q12-T12=0,0,(Q12-T12)/T12)</f>
        <v>#DIV/0!</v>
      </c>
    </row>
    <row r="13" spans="1:21" s="3" customFormat="1" ht="25.4" customHeight="1">
      <c r="D13" s="26"/>
      <c r="E13" s="24"/>
      <c r="F13" s="24"/>
      <c r="G13" s="24"/>
      <c r="H13" s="44"/>
      <c r="I13" s="44"/>
      <c r="T13" s="35"/>
      <c r="U13" s="40"/>
    </row>
    <row r="14" spans="1:21" s="3" customFormat="1" ht="25.4" customHeight="1">
      <c r="D14" s="21" t="s">
        <v>140</v>
      </c>
      <c r="E14" s="24"/>
      <c r="F14" s="24"/>
      <c r="G14" s="24"/>
      <c r="H14" s="25"/>
      <c r="I14" s="25"/>
      <c r="T14" s="35"/>
      <c r="U14" s="40"/>
    </row>
    <row r="15" spans="1:21" s="3" customFormat="1" ht="25.4" hidden="1" customHeight="1">
      <c r="A15" s="3" t="s">
        <v>468</v>
      </c>
      <c r="B15" s="3" t="s">
        <v>1034</v>
      </c>
      <c r="D15" s="26" t="s">
        <v>469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41">
        <f>SUM(E15:P15)</f>
        <v>0</v>
      </c>
      <c r="T15" s="35"/>
      <c r="U15" s="40">
        <f t="shared" ref="U15:U22" si="1">IF(Q15-T15=0,0,(Q15-T15)/T15)</f>
        <v>0</v>
      </c>
    </row>
    <row r="16" spans="1:21" s="3" customFormat="1" ht="25.4" hidden="1" customHeight="1">
      <c r="A16" s="3" t="s">
        <v>470</v>
      </c>
      <c r="B16" s="3" t="s">
        <v>1034</v>
      </c>
      <c r="D16" s="28" t="s">
        <v>471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41">
        <f t="shared" ref="Q16:Q79" si="2">SUM(E16:P16)</f>
        <v>0</v>
      </c>
      <c r="T16" s="35"/>
      <c r="U16" s="40">
        <f t="shared" si="1"/>
        <v>0</v>
      </c>
    </row>
    <row r="17" spans="1:21" s="3" customFormat="1" ht="25.4" hidden="1" customHeight="1">
      <c r="A17" s="3" t="s">
        <v>472</v>
      </c>
      <c r="B17" s="3" t="s">
        <v>1034</v>
      </c>
      <c r="D17" s="26" t="s">
        <v>473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41">
        <f t="shared" si="2"/>
        <v>0</v>
      </c>
      <c r="T17" s="35"/>
      <c r="U17" s="40">
        <f t="shared" si="1"/>
        <v>0</v>
      </c>
    </row>
    <row r="18" spans="1:21" s="3" customFormat="1" ht="25.4" hidden="1" customHeight="1">
      <c r="A18" s="3" t="s">
        <v>474</v>
      </c>
      <c r="B18" s="3" t="s">
        <v>1034</v>
      </c>
      <c r="D18" s="26" t="s">
        <v>475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41">
        <f t="shared" si="2"/>
        <v>0</v>
      </c>
      <c r="T18" s="35"/>
      <c r="U18" s="40">
        <f t="shared" si="1"/>
        <v>0</v>
      </c>
    </row>
    <row r="19" spans="1:21" s="3" customFormat="1" ht="25.4" hidden="1" customHeight="1">
      <c r="A19" s="3" t="s">
        <v>476</v>
      </c>
      <c r="B19" s="3" t="s">
        <v>1034</v>
      </c>
      <c r="D19" s="29" t="s">
        <v>477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41">
        <f t="shared" si="2"/>
        <v>0</v>
      </c>
      <c r="T19" s="35"/>
      <c r="U19" s="40">
        <f t="shared" si="1"/>
        <v>0</v>
      </c>
    </row>
    <row r="20" spans="1:21" s="3" customFormat="1" ht="25.4" hidden="1" customHeight="1">
      <c r="A20" s="3" t="s">
        <v>478</v>
      </c>
      <c r="B20" s="3" t="s">
        <v>1034</v>
      </c>
      <c r="D20" s="29" t="s">
        <v>479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41">
        <f t="shared" si="2"/>
        <v>0</v>
      </c>
      <c r="T20" s="35"/>
      <c r="U20" s="40">
        <f t="shared" si="1"/>
        <v>0</v>
      </c>
    </row>
    <row r="21" spans="1:21" s="3" customFormat="1" ht="25.4" hidden="1" customHeight="1">
      <c r="A21" s="3" t="s">
        <v>480</v>
      </c>
      <c r="B21" s="3" t="s">
        <v>1034</v>
      </c>
      <c r="D21" s="26" t="s">
        <v>481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41">
        <f t="shared" si="2"/>
        <v>0</v>
      </c>
      <c r="T21" s="35"/>
      <c r="U21" s="40">
        <f t="shared" si="1"/>
        <v>0</v>
      </c>
    </row>
    <row r="22" spans="1:21" s="3" customFormat="1" ht="25.4" hidden="1" customHeight="1">
      <c r="A22" s="3" t="s">
        <v>482</v>
      </c>
      <c r="B22" s="3" t="s">
        <v>1034</v>
      </c>
      <c r="D22" s="29" t="s">
        <v>483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41">
        <f t="shared" si="2"/>
        <v>0</v>
      </c>
      <c r="T22" s="35"/>
      <c r="U22" s="40">
        <f t="shared" si="1"/>
        <v>0</v>
      </c>
    </row>
    <row r="23" spans="1:21" s="3" customFormat="1" ht="25.4" customHeight="1">
      <c r="A23" s="3" t="s">
        <v>484</v>
      </c>
      <c r="B23" s="3" t="s">
        <v>1034</v>
      </c>
      <c r="D23" s="26" t="s">
        <v>485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41">
        <f t="shared" si="2"/>
        <v>0</v>
      </c>
      <c r="R23" s="39">
        <f>Q23/Summary!$Q$16</f>
        <v>0</v>
      </c>
      <c r="S23" s="39"/>
      <c r="T23" s="35"/>
      <c r="U23" s="40">
        <f t="shared" ref="U23:U54" si="3">-IF(Q23-T23=0,0,(Q23-T23)/T23)</f>
        <v>0</v>
      </c>
    </row>
    <row r="24" spans="1:21" s="3" customFormat="1" ht="25.4" hidden="1" customHeight="1">
      <c r="A24" s="3" t="s">
        <v>486</v>
      </c>
      <c r="B24" s="3" t="s">
        <v>1034</v>
      </c>
      <c r="D24" s="26" t="s">
        <v>487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41">
        <f t="shared" si="2"/>
        <v>0</v>
      </c>
      <c r="R24" s="39">
        <f>Q24/Summary!$Q$16</f>
        <v>0</v>
      </c>
      <c r="S24" s="39"/>
      <c r="T24" s="35"/>
      <c r="U24" s="40">
        <f t="shared" si="3"/>
        <v>0</v>
      </c>
    </row>
    <row r="25" spans="1:21" s="3" customFormat="1" ht="25.4" hidden="1" customHeight="1">
      <c r="A25" s="3" t="s">
        <v>488</v>
      </c>
      <c r="B25" s="3" t="s">
        <v>1034</v>
      </c>
      <c r="D25" s="26" t="s">
        <v>489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41">
        <f t="shared" si="2"/>
        <v>0</v>
      </c>
      <c r="R25" s="39">
        <f>Q25/Summary!$Q$16</f>
        <v>0</v>
      </c>
      <c r="S25" s="39"/>
      <c r="T25" s="35"/>
      <c r="U25" s="40">
        <f t="shared" si="3"/>
        <v>0</v>
      </c>
    </row>
    <row r="26" spans="1:21" s="3" customFormat="1" ht="25.4" hidden="1" customHeight="1">
      <c r="A26" s="3" t="s">
        <v>490</v>
      </c>
      <c r="B26" s="3" t="s">
        <v>1034</v>
      </c>
      <c r="D26" s="26" t="s">
        <v>491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41">
        <f t="shared" si="2"/>
        <v>0</v>
      </c>
      <c r="R26" s="39">
        <f>Q26/Summary!$Q$16</f>
        <v>0</v>
      </c>
      <c r="S26" s="39"/>
      <c r="T26" s="35"/>
      <c r="U26" s="40">
        <f t="shared" si="3"/>
        <v>0</v>
      </c>
    </row>
    <row r="27" spans="1:21" s="3" customFormat="1" ht="25.4" hidden="1" customHeight="1">
      <c r="A27" s="3" t="s">
        <v>492</v>
      </c>
      <c r="B27" s="3" t="s">
        <v>1034</v>
      </c>
      <c r="D27" s="26" t="s">
        <v>493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41">
        <f t="shared" si="2"/>
        <v>0</v>
      </c>
      <c r="R27" s="39">
        <f>Q27/Summary!$Q$16</f>
        <v>0</v>
      </c>
      <c r="S27" s="39"/>
      <c r="T27" s="35"/>
      <c r="U27" s="40">
        <f t="shared" si="3"/>
        <v>0</v>
      </c>
    </row>
    <row r="28" spans="1:21" s="3" customFormat="1" ht="25.4" hidden="1" customHeight="1">
      <c r="A28" s="3" t="s">
        <v>494</v>
      </c>
      <c r="B28" s="3" t="s">
        <v>1034</v>
      </c>
      <c r="D28" s="26" t="s">
        <v>495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41">
        <f t="shared" si="2"/>
        <v>0</v>
      </c>
      <c r="R28" s="39">
        <f>Q28/Summary!$Q$16</f>
        <v>0</v>
      </c>
      <c r="S28" s="39"/>
      <c r="T28" s="35"/>
      <c r="U28" s="40">
        <f t="shared" si="3"/>
        <v>0</v>
      </c>
    </row>
    <row r="29" spans="1:21" s="3" customFormat="1" ht="25.4" hidden="1" customHeight="1">
      <c r="A29" s="3" t="s">
        <v>496</v>
      </c>
      <c r="B29" s="3" t="s">
        <v>1034</v>
      </c>
      <c r="D29" s="26" t="s">
        <v>171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41">
        <f t="shared" si="2"/>
        <v>0</v>
      </c>
      <c r="R29" s="39">
        <f>Q29/Summary!$Q$16</f>
        <v>0</v>
      </c>
      <c r="S29" s="39"/>
      <c r="T29" s="35"/>
      <c r="U29" s="40">
        <f t="shared" si="3"/>
        <v>0</v>
      </c>
    </row>
    <row r="30" spans="1:21" s="3" customFormat="1" ht="25.4" hidden="1" customHeight="1">
      <c r="A30" s="3" t="s">
        <v>497</v>
      </c>
      <c r="B30" s="3" t="s">
        <v>1034</v>
      </c>
      <c r="D30" s="26" t="s">
        <v>173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41">
        <f t="shared" si="2"/>
        <v>0</v>
      </c>
      <c r="R30" s="39">
        <f>Q30/Summary!$Q$16</f>
        <v>0</v>
      </c>
      <c r="S30" s="39"/>
      <c r="T30" s="35"/>
      <c r="U30" s="40">
        <f t="shared" si="3"/>
        <v>0</v>
      </c>
    </row>
    <row r="31" spans="1:21" s="3" customFormat="1" ht="25.4" hidden="1" customHeight="1">
      <c r="A31" s="3" t="s">
        <v>498</v>
      </c>
      <c r="B31" s="3" t="s">
        <v>1034</v>
      </c>
      <c r="D31" s="26" t="s">
        <v>499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41">
        <f t="shared" si="2"/>
        <v>0</v>
      </c>
      <c r="R31" s="39">
        <f>Q31/Summary!$Q$16</f>
        <v>0</v>
      </c>
      <c r="S31" s="39"/>
      <c r="T31" s="35"/>
      <c r="U31" s="40">
        <f t="shared" si="3"/>
        <v>0</v>
      </c>
    </row>
    <row r="32" spans="1:21" s="3" customFormat="1" ht="25.4" hidden="1" customHeight="1">
      <c r="A32" s="3" t="s">
        <v>500</v>
      </c>
      <c r="B32" s="3" t="s">
        <v>1034</v>
      </c>
      <c r="D32" s="26" t="s">
        <v>501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41">
        <f t="shared" si="2"/>
        <v>0</v>
      </c>
      <c r="R32" s="39">
        <f>Q32/Summary!$Q$16</f>
        <v>0</v>
      </c>
      <c r="S32" s="39"/>
      <c r="T32" s="35"/>
      <c r="U32" s="40">
        <f t="shared" si="3"/>
        <v>0</v>
      </c>
    </row>
    <row r="33" spans="1:21" s="3" customFormat="1" ht="25.4" hidden="1" customHeight="1">
      <c r="A33" s="3" t="s">
        <v>502</v>
      </c>
      <c r="B33" s="3" t="s">
        <v>1034</v>
      </c>
      <c r="D33" s="26" t="s">
        <v>503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41">
        <f t="shared" si="2"/>
        <v>0</v>
      </c>
      <c r="R33" s="39">
        <f>Q33/Summary!$Q$16</f>
        <v>0</v>
      </c>
      <c r="S33" s="39"/>
      <c r="T33" s="35"/>
      <c r="U33" s="40">
        <f t="shared" si="3"/>
        <v>0</v>
      </c>
    </row>
    <row r="34" spans="1:21" s="3" customFormat="1" ht="25.4" hidden="1" customHeight="1">
      <c r="A34" s="3" t="s">
        <v>504</v>
      </c>
      <c r="B34" s="3" t="s">
        <v>1034</v>
      </c>
      <c r="D34" s="26" t="s">
        <v>505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41">
        <f t="shared" si="2"/>
        <v>0</v>
      </c>
      <c r="R34" s="39">
        <f>Q34/Summary!$Q$16</f>
        <v>0</v>
      </c>
      <c r="S34" s="39"/>
      <c r="T34" s="35"/>
      <c r="U34" s="40">
        <f t="shared" si="3"/>
        <v>0</v>
      </c>
    </row>
    <row r="35" spans="1:21" s="3" customFormat="1" ht="25.4" customHeight="1">
      <c r="A35" s="3" t="s">
        <v>506</v>
      </c>
      <c r="B35" s="3" t="s">
        <v>1034</v>
      </c>
      <c r="D35" s="26" t="s">
        <v>507</v>
      </c>
      <c r="E35" s="27">
        <v>3500</v>
      </c>
      <c r="F35" s="27">
        <v>3500</v>
      </c>
      <c r="G35" s="27">
        <v>3500</v>
      </c>
      <c r="H35" s="27">
        <v>3500</v>
      </c>
      <c r="I35" s="27">
        <v>3500</v>
      </c>
      <c r="J35" s="27">
        <v>3500</v>
      </c>
      <c r="K35" s="27">
        <v>3500</v>
      </c>
      <c r="L35" s="27">
        <v>3500</v>
      </c>
      <c r="M35" s="27">
        <v>3500</v>
      </c>
      <c r="N35" s="27">
        <v>3500</v>
      </c>
      <c r="O35" s="27">
        <v>3500</v>
      </c>
      <c r="P35" s="27">
        <v>3500</v>
      </c>
      <c r="Q35" s="41">
        <f t="shared" si="2"/>
        <v>42000</v>
      </c>
      <c r="R35" s="39">
        <f>Q35/Summary!$Q$16</f>
        <v>5.2730540030233777E-4</v>
      </c>
      <c r="S35" s="39"/>
      <c r="T35" s="35"/>
      <c r="U35" s="40" t="e">
        <f t="shared" si="3"/>
        <v>#DIV/0!</v>
      </c>
    </row>
    <row r="36" spans="1:21" s="3" customFormat="1" ht="25.4" hidden="1" customHeight="1">
      <c r="A36" s="3" t="s">
        <v>508</v>
      </c>
      <c r="B36" s="3" t="s">
        <v>1034</v>
      </c>
      <c r="D36" s="26" t="s">
        <v>509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41">
        <f t="shared" si="2"/>
        <v>0</v>
      </c>
      <c r="R36" s="39">
        <f>Q36/Summary!$Q$16</f>
        <v>0</v>
      </c>
      <c r="S36" s="39"/>
      <c r="T36" s="35"/>
      <c r="U36" s="40">
        <f t="shared" si="3"/>
        <v>0</v>
      </c>
    </row>
    <row r="37" spans="1:21" s="3" customFormat="1" ht="25.4" hidden="1" customHeight="1">
      <c r="A37" s="3" t="s">
        <v>510</v>
      </c>
      <c r="B37" s="3" t="s">
        <v>1034</v>
      </c>
      <c r="D37" s="26" t="s">
        <v>511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41">
        <f t="shared" si="2"/>
        <v>0</v>
      </c>
      <c r="R37" s="39">
        <f>Q37/Summary!$Q$16</f>
        <v>0</v>
      </c>
      <c r="S37" s="39"/>
      <c r="T37" s="35"/>
      <c r="U37" s="40">
        <f t="shared" si="3"/>
        <v>0</v>
      </c>
    </row>
    <row r="38" spans="1:21" s="3" customFormat="1" ht="25.4" hidden="1" customHeight="1">
      <c r="A38" s="3" t="s">
        <v>512</v>
      </c>
      <c r="B38" s="3" t="s">
        <v>1034</v>
      </c>
      <c r="D38" s="26" t="s">
        <v>513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41">
        <f t="shared" si="2"/>
        <v>0</v>
      </c>
      <c r="R38" s="39">
        <f>Q38/Summary!$Q$16</f>
        <v>0</v>
      </c>
      <c r="S38" s="39"/>
      <c r="T38" s="35"/>
      <c r="U38" s="40">
        <f t="shared" si="3"/>
        <v>0</v>
      </c>
    </row>
    <row r="39" spans="1:21" s="3" customFormat="1" ht="25.4" hidden="1" customHeight="1">
      <c r="A39" s="3" t="s">
        <v>514</v>
      </c>
      <c r="B39" s="3" t="s">
        <v>1034</v>
      </c>
      <c r="D39" s="26" t="s">
        <v>515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41">
        <f t="shared" si="2"/>
        <v>0</v>
      </c>
      <c r="R39" s="39">
        <f>Q39/Summary!$Q$16</f>
        <v>0</v>
      </c>
      <c r="S39" s="39"/>
      <c r="T39" s="35"/>
      <c r="U39" s="40">
        <f t="shared" si="3"/>
        <v>0</v>
      </c>
    </row>
    <row r="40" spans="1:21" s="3" customFormat="1" ht="25.4" hidden="1" customHeight="1">
      <c r="A40" s="3" t="s">
        <v>516</v>
      </c>
      <c r="B40" s="3" t="s">
        <v>1034</v>
      </c>
      <c r="D40" s="26" t="s">
        <v>517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41">
        <f t="shared" si="2"/>
        <v>0</v>
      </c>
      <c r="R40" s="39">
        <f>Q40/Summary!$Q$16</f>
        <v>0</v>
      </c>
      <c r="S40" s="39"/>
      <c r="T40" s="35"/>
      <c r="U40" s="40">
        <f t="shared" si="3"/>
        <v>0</v>
      </c>
    </row>
    <row r="41" spans="1:21" s="3" customFormat="1" ht="25.4" customHeight="1">
      <c r="A41" s="3" t="s">
        <v>518</v>
      </c>
      <c r="B41" s="3" t="s">
        <v>1034</v>
      </c>
      <c r="D41" s="26" t="s">
        <v>519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41">
        <f t="shared" si="2"/>
        <v>0</v>
      </c>
      <c r="R41" s="39">
        <f>Q41/Summary!$Q$16</f>
        <v>0</v>
      </c>
      <c r="S41" s="39"/>
      <c r="T41" s="35"/>
      <c r="U41" s="40">
        <f t="shared" si="3"/>
        <v>0</v>
      </c>
    </row>
    <row r="42" spans="1:21" s="3" customFormat="1" ht="25.4" hidden="1" customHeight="1">
      <c r="A42" s="3" t="s">
        <v>520</v>
      </c>
      <c r="B42" s="3" t="s">
        <v>1034</v>
      </c>
      <c r="D42" s="26" t="s">
        <v>521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41">
        <f t="shared" si="2"/>
        <v>0</v>
      </c>
      <c r="R42" s="39">
        <f>Q42/Summary!$Q$16</f>
        <v>0</v>
      </c>
      <c r="S42" s="39"/>
      <c r="T42" s="35"/>
      <c r="U42" s="40">
        <f t="shared" si="3"/>
        <v>0</v>
      </c>
    </row>
    <row r="43" spans="1:21" s="3" customFormat="1" ht="25.4" customHeight="1">
      <c r="A43" s="3" t="s">
        <v>522</v>
      </c>
      <c r="B43" s="3" t="s">
        <v>1034</v>
      </c>
      <c r="D43" s="26" t="s">
        <v>523</v>
      </c>
      <c r="E43" s="27">
        <v>120</v>
      </c>
      <c r="F43" s="27">
        <v>120</v>
      </c>
      <c r="G43" s="27">
        <v>120</v>
      </c>
      <c r="H43" s="27">
        <v>120</v>
      </c>
      <c r="I43" s="27">
        <v>120</v>
      </c>
      <c r="J43" s="27">
        <v>120</v>
      </c>
      <c r="K43" s="27">
        <v>120</v>
      </c>
      <c r="L43" s="27">
        <v>120</v>
      </c>
      <c r="M43" s="27">
        <v>120</v>
      </c>
      <c r="N43" s="27">
        <v>120</v>
      </c>
      <c r="O43" s="27">
        <v>120</v>
      </c>
      <c r="P43" s="27">
        <v>120</v>
      </c>
      <c r="Q43" s="41">
        <f t="shared" si="2"/>
        <v>1440</v>
      </c>
      <c r="R43" s="39">
        <f>Q43/Summary!$Q$16</f>
        <v>1.8079042296080152E-5</v>
      </c>
      <c r="S43" s="39"/>
      <c r="T43" s="35"/>
      <c r="U43" s="40" t="e">
        <f t="shared" si="3"/>
        <v>#DIV/0!</v>
      </c>
    </row>
    <row r="44" spans="1:21" s="3" customFormat="1" ht="25.4" hidden="1" customHeight="1">
      <c r="A44" s="3" t="s">
        <v>524</v>
      </c>
      <c r="B44" s="3" t="s">
        <v>1034</v>
      </c>
      <c r="D44" s="26" t="s">
        <v>525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41">
        <f t="shared" si="2"/>
        <v>0</v>
      </c>
      <c r="R44" s="39">
        <f>Q44/Summary!$Q$16</f>
        <v>0</v>
      </c>
      <c r="S44" s="39"/>
      <c r="T44" s="35"/>
      <c r="U44" s="40">
        <f t="shared" si="3"/>
        <v>0</v>
      </c>
    </row>
    <row r="45" spans="1:21" s="3" customFormat="1" ht="25.4" hidden="1" customHeight="1">
      <c r="A45" s="3" t="s">
        <v>526</v>
      </c>
      <c r="B45" s="3" t="s">
        <v>1034</v>
      </c>
      <c r="D45" s="26" t="s">
        <v>527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41">
        <f t="shared" si="2"/>
        <v>0</v>
      </c>
      <c r="R45" s="39">
        <f>Q45/Summary!$Q$16</f>
        <v>0</v>
      </c>
      <c r="S45" s="39"/>
      <c r="T45" s="35"/>
      <c r="U45" s="40">
        <f t="shared" si="3"/>
        <v>0</v>
      </c>
    </row>
    <row r="46" spans="1:21" s="3" customFormat="1" ht="25.4" hidden="1" customHeight="1">
      <c r="A46" s="3" t="s">
        <v>528</v>
      </c>
      <c r="B46" s="3" t="s">
        <v>1034</v>
      </c>
      <c r="D46" s="29" t="s">
        <v>529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41">
        <f t="shared" si="2"/>
        <v>0</v>
      </c>
      <c r="R46" s="39">
        <f>Q46/Summary!$Q$16</f>
        <v>0</v>
      </c>
      <c r="S46" s="39"/>
      <c r="T46" s="35"/>
      <c r="U46" s="40">
        <f t="shared" si="3"/>
        <v>0</v>
      </c>
    </row>
    <row r="47" spans="1:21" s="3" customFormat="1" ht="25.4" hidden="1" customHeight="1">
      <c r="A47" s="3" t="s">
        <v>530</v>
      </c>
      <c r="B47" s="3" t="s">
        <v>1034</v>
      </c>
      <c r="D47" s="26" t="s">
        <v>531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41">
        <f t="shared" si="2"/>
        <v>0</v>
      </c>
      <c r="R47" s="39">
        <f>Q47/Summary!$Q$16</f>
        <v>0</v>
      </c>
      <c r="S47" s="39"/>
      <c r="T47" s="35"/>
      <c r="U47" s="40">
        <f t="shared" si="3"/>
        <v>0</v>
      </c>
    </row>
    <row r="48" spans="1:21" s="3" customFormat="1" ht="25.4" hidden="1" customHeight="1">
      <c r="A48" s="3" t="s">
        <v>532</v>
      </c>
      <c r="B48" s="3" t="s">
        <v>1034</v>
      </c>
      <c r="D48" s="26" t="s">
        <v>533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41">
        <f t="shared" si="2"/>
        <v>0</v>
      </c>
      <c r="R48" s="39">
        <f>Q48/Summary!$Q$16</f>
        <v>0</v>
      </c>
      <c r="S48" s="39"/>
      <c r="T48" s="35"/>
      <c r="U48" s="40">
        <f t="shared" si="3"/>
        <v>0</v>
      </c>
    </row>
    <row r="49" spans="1:21" s="3" customFormat="1" ht="25.4" hidden="1" customHeight="1">
      <c r="A49" s="3" t="s">
        <v>534</v>
      </c>
      <c r="B49" s="3" t="s">
        <v>1034</v>
      </c>
      <c r="D49" s="26" t="s">
        <v>535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41">
        <f t="shared" si="2"/>
        <v>0</v>
      </c>
      <c r="R49" s="39">
        <f>Q49/Summary!$Q$16</f>
        <v>0</v>
      </c>
      <c r="S49" s="39"/>
      <c r="T49" s="35"/>
      <c r="U49" s="40">
        <f t="shared" si="3"/>
        <v>0</v>
      </c>
    </row>
    <row r="50" spans="1:21" s="3" customFormat="1" ht="25.4" hidden="1" customHeight="1">
      <c r="A50" s="3" t="s">
        <v>536</v>
      </c>
      <c r="B50" s="3" t="s">
        <v>1034</v>
      </c>
      <c r="D50" s="26" t="s">
        <v>537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41">
        <f t="shared" si="2"/>
        <v>0</v>
      </c>
      <c r="R50" s="39">
        <f>Q50/Summary!$Q$16</f>
        <v>0</v>
      </c>
      <c r="S50" s="39"/>
      <c r="T50" s="35"/>
      <c r="U50" s="40">
        <f t="shared" si="3"/>
        <v>0</v>
      </c>
    </row>
    <row r="51" spans="1:21" s="3" customFormat="1" ht="25.4" hidden="1" customHeight="1">
      <c r="A51" s="3" t="s">
        <v>538</v>
      </c>
      <c r="B51" s="3" t="s">
        <v>1034</v>
      </c>
      <c r="D51" s="26" t="s">
        <v>539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41">
        <f t="shared" si="2"/>
        <v>0</v>
      </c>
      <c r="R51" s="39">
        <f>Q51/Summary!$Q$16</f>
        <v>0</v>
      </c>
      <c r="S51" s="39"/>
      <c r="T51" s="35"/>
      <c r="U51" s="40">
        <f t="shared" si="3"/>
        <v>0</v>
      </c>
    </row>
    <row r="52" spans="1:21" s="3" customFormat="1" ht="25.4" hidden="1" customHeight="1">
      <c r="A52" s="3" t="s">
        <v>540</v>
      </c>
      <c r="B52" s="3" t="s">
        <v>1034</v>
      </c>
      <c r="D52" s="26" t="s">
        <v>541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41">
        <f t="shared" si="2"/>
        <v>0</v>
      </c>
      <c r="R52" s="39">
        <f>Q52/Summary!$Q$16</f>
        <v>0</v>
      </c>
      <c r="S52" s="39"/>
      <c r="T52" s="35"/>
      <c r="U52" s="40">
        <f t="shared" si="3"/>
        <v>0</v>
      </c>
    </row>
    <row r="53" spans="1:21" s="3" customFormat="1" ht="25.4" customHeight="1">
      <c r="A53" s="3" t="s">
        <v>542</v>
      </c>
      <c r="B53" s="3" t="s">
        <v>1034</v>
      </c>
      <c r="D53" s="29" t="s">
        <v>543</v>
      </c>
      <c r="E53" s="324"/>
      <c r="F53" s="324"/>
      <c r="G53" s="324"/>
      <c r="H53" s="324"/>
      <c r="I53" s="324"/>
      <c r="J53" s="324"/>
      <c r="K53" s="324"/>
      <c r="L53" s="324"/>
      <c r="M53" s="324"/>
      <c r="N53" s="324"/>
      <c r="O53" s="324"/>
      <c r="P53" s="324"/>
      <c r="Q53" s="41">
        <f t="shared" si="2"/>
        <v>0</v>
      </c>
      <c r="R53" s="39">
        <f>Q53/Summary!$Q$16</f>
        <v>0</v>
      </c>
      <c r="S53" s="39"/>
      <c r="T53" s="35"/>
      <c r="U53" s="40">
        <f t="shared" si="3"/>
        <v>0</v>
      </c>
    </row>
    <row r="54" spans="1:21" s="3" customFormat="1" ht="25.4" hidden="1" customHeight="1">
      <c r="A54" s="3" t="s">
        <v>544</v>
      </c>
      <c r="B54" s="3" t="s">
        <v>1034</v>
      </c>
      <c r="D54" s="26" t="s">
        <v>545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41">
        <f t="shared" si="2"/>
        <v>0</v>
      </c>
      <c r="R54" s="39">
        <f>Q54/Summary!$Q$16</f>
        <v>0</v>
      </c>
      <c r="S54" s="39"/>
      <c r="T54" s="35"/>
      <c r="U54" s="40">
        <f t="shared" si="3"/>
        <v>0</v>
      </c>
    </row>
    <row r="55" spans="1:21" s="3" customFormat="1" ht="25.4" hidden="1" customHeight="1">
      <c r="A55" s="3" t="s">
        <v>546</v>
      </c>
      <c r="B55" s="3" t="s">
        <v>1034</v>
      </c>
      <c r="D55" s="29" t="s">
        <v>547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41">
        <f t="shared" si="2"/>
        <v>0</v>
      </c>
      <c r="R55" s="39">
        <f>Q55/Summary!$Q$16</f>
        <v>0</v>
      </c>
      <c r="S55" s="39"/>
      <c r="T55" s="35"/>
      <c r="U55" s="40">
        <f t="shared" ref="U55:U86" si="4">-IF(Q55-T55=0,0,(Q55-T55)/T55)</f>
        <v>0</v>
      </c>
    </row>
    <row r="56" spans="1:21" s="3" customFormat="1" ht="25.4" hidden="1" customHeight="1">
      <c r="A56" s="3" t="s">
        <v>548</v>
      </c>
      <c r="B56" s="3" t="s">
        <v>1034</v>
      </c>
      <c r="D56" s="26" t="s">
        <v>549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41">
        <f t="shared" si="2"/>
        <v>0</v>
      </c>
      <c r="R56" s="39">
        <f>Q56/Summary!$Q$16</f>
        <v>0</v>
      </c>
      <c r="S56" s="39"/>
      <c r="T56" s="35"/>
      <c r="U56" s="40">
        <f t="shared" si="4"/>
        <v>0</v>
      </c>
    </row>
    <row r="57" spans="1:21" s="3" customFormat="1" ht="25.4" hidden="1" customHeight="1">
      <c r="A57" s="3" t="s">
        <v>550</v>
      </c>
      <c r="B57" s="3" t="s">
        <v>1034</v>
      </c>
      <c r="D57" s="26" t="s">
        <v>551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41">
        <f t="shared" si="2"/>
        <v>0</v>
      </c>
      <c r="R57" s="39">
        <f>Q57/Summary!$Q$16</f>
        <v>0</v>
      </c>
      <c r="S57" s="39"/>
      <c r="T57" s="35"/>
      <c r="U57" s="40">
        <f t="shared" si="4"/>
        <v>0</v>
      </c>
    </row>
    <row r="58" spans="1:21" s="3" customFormat="1" ht="25.4" hidden="1" customHeight="1">
      <c r="A58" s="3" t="s">
        <v>552</v>
      </c>
      <c r="B58" s="3" t="s">
        <v>1034</v>
      </c>
      <c r="D58" s="26" t="s">
        <v>553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41">
        <f t="shared" si="2"/>
        <v>0</v>
      </c>
      <c r="R58" s="39">
        <f>Q58/Summary!$Q$16</f>
        <v>0</v>
      </c>
      <c r="S58" s="39"/>
      <c r="T58" s="35"/>
      <c r="U58" s="40">
        <f t="shared" si="4"/>
        <v>0</v>
      </c>
    </row>
    <row r="59" spans="1:21" s="3" customFormat="1" ht="25.4" hidden="1" customHeight="1">
      <c r="A59" s="3" t="s">
        <v>554</v>
      </c>
      <c r="B59" s="3" t="s">
        <v>1034</v>
      </c>
      <c r="D59" s="26" t="s">
        <v>555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41">
        <f t="shared" si="2"/>
        <v>0</v>
      </c>
      <c r="R59" s="39">
        <f>Q59/Summary!$Q$16</f>
        <v>0</v>
      </c>
      <c r="S59" s="39"/>
      <c r="T59" s="35"/>
      <c r="U59" s="40">
        <f t="shared" si="4"/>
        <v>0</v>
      </c>
    </row>
    <row r="60" spans="1:21" s="3" customFormat="1" ht="25.4" hidden="1" customHeight="1">
      <c r="A60" s="3" t="s">
        <v>556</v>
      </c>
      <c r="B60" s="3" t="s">
        <v>1034</v>
      </c>
      <c r="D60" s="26" t="s">
        <v>557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41">
        <f t="shared" si="2"/>
        <v>0</v>
      </c>
      <c r="R60" s="39">
        <f>Q60/Summary!$Q$16</f>
        <v>0</v>
      </c>
      <c r="S60" s="39"/>
      <c r="T60" s="35"/>
      <c r="U60" s="40">
        <f t="shared" si="4"/>
        <v>0</v>
      </c>
    </row>
    <row r="61" spans="1:21" s="3" customFormat="1" ht="25.4" hidden="1" customHeight="1">
      <c r="A61" s="3" t="s">
        <v>558</v>
      </c>
      <c r="B61" s="3" t="s">
        <v>1034</v>
      </c>
      <c r="D61" s="26" t="s">
        <v>559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41">
        <f t="shared" si="2"/>
        <v>0</v>
      </c>
      <c r="R61" s="39">
        <f>Q61/Summary!$Q$16</f>
        <v>0</v>
      </c>
      <c r="S61" s="39"/>
      <c r="T61" s="35"/>
      <c r="U61" s="40">
        <f t="shared" si="4"/>
        <v>0</v>
      </c>
    </row>
    <row r="62" spans="1:21" s="3" customFormat="1" ht="25.4" hidden="1" customHeight="1">
      <c r="A62" s="3" t="s">
        <v>560</v>
      </c>
      <c r="B62" s="3" t="s">
        <v>1034</v>
      </c>
      <c r="D62" s="26" t="s">
        <v>561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41">
        <f t="shared" si="2"/>
        <v>0</v>
      </c>
      <c r="R62" s="39">
        <f>Q62/Summary!$Q$16</f>
        <v>0</v>
      </c>
      <c r="S62" s="39"/>
      <c r="T62" s="35"/>
      <c r="U62" s="40">
        <f t="shared" si="4"/>
        <v>0</v>
      </c>
    </row>
    <row r="63" spans="1:21" s="3" customFormat="1" ht="25.4" hidden="1" customHeight="1">
      <c r="A63" s="3" t="s">
        <v>562</v>
      </c>
      <c r="B63" s="3" t="s">
        <v>1034</v>
      </c>
      <c r="D63" s="26" t="s">
        <v>563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41">
        <f t="shared" si="2"/>
        <v>0</v>
      </c>
      <c r="R63" s="39">
        <f>Q63/Summary!$Q$16</f>
        <v>0</v>
      </c>
      <c r="S63" s="39"/>
      <c r="T63" s="35"/>
      <c r="U63" s="40">
        <f t="shared" si="4"/>
        <v>0</v>
      </c>
    </row>
    <row r="64" spans="1:21" s="3" customFormat="1" ht="25.4" customHeight="1">
      <c r="A64" s="3" t="s">
        <v>564</v>
      </c>
      <c r="B64" s="3" t="s">
        <v>1034</v>
      </c>
      <c r="D64" s="26" t="s">
        <v>565</v>
      </c>
      <c r="E64" s="27">
        <v>199114.85999999943</v>
      </c>
      <c r="F64" s="27">
        <v>199876</v>
      </c>
      <c r="G64" s="27">
        <v>202523.34999999942</v>
      </c>
      <c r="H64" s="27">
        <v>204266</v>
      </c>
      <c r="I64" s="27">
        <v>211443.4600000004</v>
      </c>
      <c r="J64" s="27">
        <v>212143.32000000012</v>
      </c>
      <c r="K64" s="27">
        <v>217682.52000000075</v>
      </c>
      <c r="L64" s="27">
        <v>217240.52000000075</v>
      </c>
      <c r="M64" s="27">
        <v>212542.80000000034</v>
      </c>
      <c r="N64" s="27">
        <v>218581.23999999985</v>
      </c>
      <c r="O64" s="27">
        <v>219967.76000000068</v>
      </c>
      <c r="P64" s="27">
        <v>221951.83999999973</v>
      </c>
      <c r="Q64" s="41">
        <f t="shared" si="2"/>
        <v>2537333.6700000013</v>
      </c>
      <c r="R64" s="39">
        <f>Q64/Summary!$Q$16</f>
        <v>3.1855946346665484E-2</v>
      </c>
      <c r="S64" s="39"/>
      <c r="T64" s="35"/>
      <c r="U64" s="40" t="e">
        <f t="shared" si="4"/>
        <v>#DIV/0!</v>
      </c>
    </row>
    <row r="65" spans="1:21" s="3" customFormat="1" ht="25.4" hidden="1" customHeight="1">
      <c r="A65" s="3" t="s">
        <v>566</v>
      </c>
      <c r="B65" s="3" t="s">
        <v>1034</v>
      </c>
      <c r="D65" s="26" t="s">
        <v>567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41">
        <f t="shared" si="2"/>
        <v>0</v>
      </c>
      <c r="R65" s="39">
        <f>Q65/Summary!$Q$16</f>
        <v>0</v>
      </c>
      <c r="S65" s="39"/>
      <c r="T65" s="35"/>
      <c r="U65" s="40">
        <f t="shared" si="4"/>
        <v>0</v>
      </c>
    </row>
    <row r="66" spans="1:21" s="3" customFormat="1" ht="25.4" hidden="1" customHeight="1">
      <c r="A66" s="3" t="s">
        <v>568</v>
      </c>
      <c r="B66" s="3" t="s">
        <v>1034</v>
      </c>
      <c r="D66" s="26" t="s">
        <v>569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41">
        <f t="shared" si="2"/>
        <v>0</v>
      </c>
      <c r="R66" s="39">
        <f>Q66/Summary!$Q$16</f>
        <v>0</v>
      </c>
      <c r="S66" s="39"/>
      <c r="T66" s="35"/>
      <c r="U66" s="40">
        <f t="shared" si="4"/>
        <v>0</v>
      </c>
    </row>
    <row r="67" spans="1:21" s="3" customFormat="1" ht="25.4" hidden="1" customHeight="1">
      <c r="A67" s="3" t="s">
        <v>570</v>
      </c>
      <c r="B67" s="3" t="s">
        <v>1034</v>
      </c>
      <c r="D67" s="26" t="s">
        <v>571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41">
        <f t="shared" si="2"/>
        <v>0</v>
      </c>
      <c r="R67" s="39">
        <f>Q67/Summary!$Q$16</f>
        <v>0</v>
      </c>
      <c r="S67" s="39"/>
      <c r="T67" s="35"/>
      <c r="U67" s="40">
        <f t="shared" si="4"/>
        <v>0</v>
      </c>
    </row>
    <row r="68" spans="1:21" s="3" customFormat="1" ht="25.4" hidden="1" customHeight="1">
      <c r="A68" s="3" t="s">
        <v>572</v>
      </c>
      <c r="B68" s="3" t="s">
        <v>1034</v>
      </c>
      <c r="D68" s="26" t="s">
        <v>573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41">
        <f t="shared" si="2"/>
        <v>0</v>
      </c>
      <c r="R68" s="39">
        <f>Q68/Summary!$Q$16</f>
        <v>0</v>
      </c>
      <c r="S68" s="39"/>
      <c r="T68" s="35"/>
      <c r="U68" s="40">
        <f t="shared" si="4"/>
        <v>0</v>
      </c>
    </row>
    <row r="69" spans="1:21" s="3" customFormat="1" ht="25.4" hidden="1" customHeight="1">
      <c r="A69" s="3" t="s">
        <v>574</v>
      </c>
      <c r="B69" s="3" t="s">
        <v>1034</v>
      </c>
      <c r="D69" s="26" t="s">
        <v>575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41">
        <f t="shared" si="2"/>
        <v>0</v>
      </c>
      <c r="R69" s="39">
        <f>Q69/Summary!$Q$16</f>
        <v>0</v>
      </c>
      <c r="S69" s="39"/>
      <c r="T69" s="35"/>
      <c r="U69" s="40">
        <f t="shared" si="4"/>
        <v>0</v>
      </c>
    </row>
    <row r="70" spans="1:21" s="3" customFormat="1" ht="25.4" hidden="1" customHeight="1">
      <c r="A70" s="3" t="s">
        <v>576</v>
      </c>
      <c r="B70" s="3" t="s">
        <v>1034</v>
      </c>
      <c r="D70" s="26" t="s">
        <v>577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41">
        <f t="shared" si="2"/>
        <v>0</v>
      </c>
      <c r="R70" s="39">
        <f>Q70/Summary!$Q$16</f>
        <v>0</v>
      </c>
      <c r="S70" s="39"/>
      <c r="T70" s="35"/>
      <c r="U70" s="40">
        <f t="shared" si="4"/>
        <v>0</v>
      </c>
    </row>
    <row r="71" spans="1:21" s="3" customFormat="1" ht="25.4" hidden="1" customHeight="1">
      <c r="A71" s="3" t="s">
        <v>578</v>
      </c>
      <c r="B71" s="3" t="s">
        <v>1034</v>
      </c>
      <c r="D71" s="26" t="s">
        <v>579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41">
        <f t="shared" si="2"/>
        <v>0</v>
      </c>
      <c r="R71" s="39">
        <f>Q71/Summary!$Q$16</f>
        <v>0</v>
      </c>
      <c r="S71" s="39"/>
      <c r="T71" s="35"/>
      <c r="U71" s="40">
        <f t="shared" si="4"/>
        <v>0</v>
      </c>
    </row>
    <row r="72" spans="1:21" s="3" customFormat="1" ht="25.4" hidden="1" customHeight="1">
      <c r="A72" s="3" t="s">
        <v>580</v>
      </c>
      <c r="B72" s="3" t="s">
        <v>1034</v>
      </c>
      <c r="D72" s="26" t="s">
        <v>581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41">
        <f t="shared" si="2"/>
        <v>0</v>
      </c>
      <c r="R72" s="39">
        <f>Q72/Summary!$Q$16</f>
        <v>0</v>
      </c>
      <c r="S72" s="39"/>
      <c r="T72" s="35"/>
      <c r="U72" s="40">
        <f t="shared" si="4"/>
        <v>0</v>
      </c>
    </row>
    <row r="73" spans="1:21" s="3" customFormat="1" ht="25.4" hidden="1" customHeight="1">
      <c r="A73" s="3" t="s">
        <v>582</v>
      </c>
      <c r="B73" s="3" t="s">
        <v>1034</v>
      </c>
      <c r="D73" s="26" t="s">
        <v>583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41">
        <f t="shared" si="2"/>
        <v>0</v>
      </c>
      <c r="R73" s="39">
        <f>Q73/Summary!$Q$16</f>
        <v>0</v>
      </c>
      <c r="S73" s="39"/>
      <c r="T73" s="35"/>
      <c r="U73" s="40">
        <f t="shared" si="4"/>
        <v>0</v>
      </c>
    </row>
    <row r="74" spans="1:21" s="3" customFormat="1" ht="25.4" hidden="1" customHeight="1">
      <c r="A74" s="3" t="s">
        <v>584</v>
      </c>
      <c r="B74" s="3" t="s">
        <v>1034</v>
      </c>
      <c r="D74" s="26" t="s">
        <v>585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41">
        <f t="shared" si="2"/>
        <v>0</v>
      </c>
      <c r="R74" s="39">
        <f>Q74/Summary!$Q$16</f>
        <v>0</v>
      </c>
      <c r="S74" s="39"/>
      <c r="T74" s="35"/>
      <c r="U74" s="40">
        <f t="shared" si="4"/>
        <v>0</v>
      </c>
    </row>
    <row r="75" spans="1:21" s="3" customFormat="1" ht="25.4" hidden="1" customHeight="1">
      <c r="A75" s="3" t="s">
        <v>586</v>
      </c>
      <c r="B75" s="3" t="s">
        <v>1034</v>
      </c>
      <c r="D75" s="26" t="s">
        <v>587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41">
        <f t="shared" si="2"/>
        <v>0</v>
      </c>
      <c r="R75" s="39">
        <f>Q75/Summary!$Q$16</f>
        <v>0</v>
      </c>
      <c r="S75" s="39"/>
      <c r="T75" s="35"/>
      <c r="U75" s="40">
        <f t="shared" si="4"/>
        <v>0</v>
      </c>
    </row>
    <row r="76" spans="1:21" s="3" customFormat="1" ht="25.4" hidden="1" customHeight="1">
      <c r="A76" s="3" t="s">
        <v>588</v>
      </c>
      <c r="B76" s="3" t="s">
        <v>1034</v>
      </c>
      <c r="D76" s="26" t="s">
        <v>589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41">
        <f t="shared" si="2"/>
        <v>0</v>
      </c>
      <c r="R76" s="39">
        <f>Q76/Summary!$Q$16</f>
        <v>0</v>
      </c>
      <c r="S76" s="39"/>
      <c r="T76" s="35"/>
      <c r="U76" s="40">
        <f t="shared" si="4"/>
        <v>0</v>
      </c>
    </row>
    <row r="77" spans="1:21" s="3" customFormat="1" ht="25.4" hidden="1" customHeight="1">
      <c r="A77" s="3" t="s">
        <v>590</v>
      </c>
      <c r="B77" s="3" t="s">
        <v>1034</v>
      </c>
      <c r="D77" s="26" t="s">
        <v>591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41">
        <f t="shared" si="2"/>
        <v>0</v>
      </c>
      <c r="R77" s="39">
        <f>Q77/Summary!$Q$16</f>
        <v>0</v>
      </c>
      <c r="S77" s="39"/>
      <c r="T77" s="35"/>
      <c r="U77" s="40">
        <f t="shared" si="4"/>
        <v>0</v>
      </c>
    </row>
    <row r="78" spans="1:21" s="3" customFormat="1" ht="25.4" hidden="1" customHeight="1">
      <c r="A78" s="3" t="s">
        <v>592</v>
      </c>
      <c r="B78" s="3" t="s">
        <v>1034</v>
      </c>
      <c r="D78" s="26" t="s">
        <v>593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41">
        <f t="shared" si="2"/>
        <v>0</v>
      </c>
      <c r="R78" s="39">
        <f>Q78/Summary!$Q$16</f>
        <v>0</v>
      </c>
      <c r="S78" s="39"/>
      <c r="T78" s="35"/>
      <c r="U78" s="40">
        <f t="shared" si="4"/>
        <v>0</v>
      </c>
    </row>
    <row r="79" spans="1:21" s="3" customFormat="1" ht="25.4" hidden="1" customHeight="1">
      <c r="A79" s="3" t="s">
        <v>848</v>
      </c>
      <c r="B79" s="3" t="s">
        <v>1034</v>
      </c>
      <c r="D79" s="26" t="s">
        <v>849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41">
        <f t="shared" si="2"/>
        <v>0</v>
      </c>
      <c r="R79" s="39">
        <f>Q79/Summary!$Q$16</f>
        <v>0</v>
      </c>
      <c r="S79" s="39"/>
      <c r="T79" s="35"/>
      <c r="U79" s="40">
        <f t="shared" si="4"/>
        <v>0</v>
      </c>
    </row>
    <row r="80" spans="1:21" s="3" customFormat="1" ht="25.4" hidden="1" customHeight="1">
      <c r="A80" s="3" t="s">
        <v>850</v>
      </c>
      <c r="B80" s="3" t="s">
        <v>1034</v>
      </c>
      <c r="D80" s="26" t="s">
        <v>851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41">
        <f t="shared" ref="Q80:Q143" si="5">SUM(E80:P80)</f>
        <v>0</v>
      </c>
      <c r="R80" s="39">
        <f>Q80/Summary!$Q$16</f>
        <v>0</v>
      </c>
      <c r="S80" s="39"/>
      <c r="T80" s="35"/>
      <c r="U80" s="40">
        <f t="shared" si="4"/>
        <v>0</v>
      </c>
    </row>
    <row r="81" spans="1:21" s="3" customFormat="1" ht="25.4" hidden="1" customHeight="1">
      <c r="A81" s="3" t="s">
        <v>852</v>
      </c>
      <c r="B81" s="3" t="s">
        <v>1034</v>
      </c>
      <c r="D81" s="26" t="s">
        <v>853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41">
        <f t="shared" si="5"/>
        <v>0</v>
      </c>
      <c r="R81" s="39">
        <f>Q81/Summary!$Q$16</f>
        <v>0</v>
      </c>
      <c r="S81" s="39"/>
      <c r="T81" s="35"/>
      <c r="U81" s="40">
        <f t="shared" si="4"/>
        <v>0</v>
      </c>
    </row>
    <row r="82" spans="1:21" s="3" customFormat="1" ht="25.4" hidden="1" customHeight="1">
      <c r="A82" s="3" t="s">
        <v>854</v>
      </c>
      <c r="B82" s="3" t="s">
        <v>1034</v>
      </c>
      <c r="D82" s="26" t="s">
        <v>855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41">
        <f t="shared" si="5"/>
        <v>0</v>
      </c>
      <c r="R82" s="39">
        <f>Q82/Summary!$Q$16</f>
        <v>0</v>
      </c>
      <c r="S82" s="39"/>
      <c r="T82" s="35"/>
      <c r="U82" s="40">
        <f t="shared" si="4"/>
        <v>0</v>
      </c>
    </row>
    <row r="83" spans="1:21" s="3" customFormat="1" ht="25.4" hidden="1" customHeight="1">
      <c r="A83" s="3" t="s">
        <v>856</v>
      </c>
      <c r="B83" s="3" t="s">
        <v>1034</v>
      </c>
      <c r="D83" s="26" t="s">
        <v>857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41">
        <f t="shared" si="5"/>
        <v>0</v>
      </c>
      <c r="R83" s="39">
        <f>Q83/Summary!$Q$16</f>
        <v>0</v>
      </c>
      <c r="S83" s="39"/>
      <c r="T83" s="35"/>
      <c r="U83" s="40">
        <f t="shared" si="4"/>
        <v>0</v>
      </c>
    </row>
    <row r="84" spans="1:21" s="3" customFormat="1" ht="25.4" hidden="1" customHeight="1">
      <c r="A84" s="3" t="s">
        <v>858</v>
      </c>
      <c r="B84" s="3" t="s">
        <v>1034</v>
      </c>
      <c r="D84" s="26" t="s">
        <v>859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41">
        <f t="shared" si="5"/>
        <v>0</v>
      </c>
      <c r="R84" s="39">
        <f>Q84/Summary!$Q$16</f>
        <v>0</v>
      </c>
      <c r="S84" s="39"/>
      <c r="T84" s="35"/>
      <c r="U84" s="40">
        <f t="shared" si="4"/>
        <v>0</v>
      </c>
    </row>
    <row r="85" spans="1:21" s="3" customFormat="1" ht="25.4" hidden="1" customHeight="1">
      <c r="A85" s="3" t="s">
        <v>860</v>
      </c>
      <c r="B85" s="3" t="s">
        <v>1034</v>
      </c>
      <c r="D85" s="26" t="s">
        <v>861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41">
        <f t="shared" si="5"/>
        <v>0</v>
      </c>
      <c r="R85" s="39">
        <f>Q85/Summary!$Q$16</f>
        <v>0</v>
      </c>
      <c r="S85" s="39"/>
      <c r="T85" s="35"/>
      <c r="U85" s="40">
        <f t="shared" si="4"/>
        <v>0</v>
      </c>
    </row>
    <row r="86" spans="1:21" s="3" customFormat="1" ht="25.4" hidden="1" customHeight="1">
      <c r="A86" s="3" t="s">
        <v>862</v>
      </c>
      <c r="B86" s="3" t="s">
        <v>1034</v>
      </c>
      <c r="D86" s="26" t="s">
        <v>863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41">
        <f t="shared" si="5"/>
        <v>0</v>
      </c>
      <c r="R86" s="39">
        <f>Q86/Summary!$Q$16</f>
        <v>0</v>
      </c>
      <c r="S86" s="39"/>
      <c r="T86" s="35"/>
      <c r="U86" s="40">
        <f t="shared" si="4"/>
        <v>0</v>
      </c>
    </row>
    <row r="87" spans="1:21" s="3" customFormat="1" ht="25.4" hidden="1" customHeight="1">
      <c r="A87" s="3" t="s">
        <v>864</v>
      </c>
      <c r="B87" s="3" t="s">
        <v>1034</v>
      </c>
      <c r="D87" s="26" t="s">
        <v>865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41">
        <f t="shared" si="5"/>
        <v>0</v>
      </c>
      <c r="R87" s="39">
        <f>Q87/Summary!$Q$16</f>
        <v>0</v>
      </c>
      <c r="S87" s="39"/>
      <c r="T87" s="35"/>
      <c r="U87" s="40">
        <f t="shared" ref="U87:U118" si="6">-IF(Q87-T87=0,0,(Q87-T87)/T87)</f>
        <v>0</v>
      </c>
    </row>
    <row r="88" spans="1:21" s="3" customFormat="1" ht="25.4" hidden="1" customHeight="1">
      <c r="A88" s="3" t="s">
        <v>270</v>
      </c>
      <c r="B88" s="3" t="s">
        <v>1034</v>
      </c>
      <c r="D88" s="26" t="s">
        <v>271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41">
        <f t="shared" si="5"/>
        <v>0</v>
      </c>
      <c r="R88" s="39">
        <f>Q88/Summary!$Q$16</f>
        <v>0</v>
      </c>
      <c r="S88" s="39"/>
      <c r="T88" s="35"/>
      <c r="U88" s="40">
        <f t="shared" si="6"/>
        <v>0</v>
      </c>
    </row>
    <row r="89" spans="1:21" s="3" customFormat="1" ht="25.4" hidden="1" customHeight="1">
      <c r="A89" s="3" t="s">
        <v>866</v>
      </c>
      <c r="B89" s="3" t="s">
        <v>1034</v>
      </c>
      <c r="D89" s="26" t="s">
        <v>867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41">
        <f t="shared" si="5"/>
        <v>0</v>
      </c>
      <c r="R89" s="39">
        <f>Q89/Summary!$Q$16</f>
        <v>0</v>
      </c>
      <c r="S89" s="39"/>
      <c r="T89" s="35"/>
      <c r="U89" s="40">
        <f t="shared" si="6"/>
        <v>0</v>
      </c>
    </row>
    <row r="90" spans="1:21" s="3" customFormat="1" ht="25.4" hidden="1" customHeight="1">
      <c r="A90" s="3" t="s">
        <v>272</v>
      </c>
      <c r="B90" s="3" t="s">
        <v>1034</v>
      </c>
      <c r="D90" s="26" t="s">
        <v>273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41">
        <f t="shared" si="5"/>
        <v>0</v>
      </c>
      <c r="R90" s="39">
        <f>Q90/Summary!$Q$16</f>
        <v>0</v>
      </c>
      <c r="S90" s="39"/>
      <c r="T90" s="35"/>
      <c r="U90" s="40">
        <f t="shared" si="6"/>
        <v>0</v>
      </c>
    </row>
    <row r="91" spans="1:21" s="3" customFormat="1" ht="25.4" hidden="1" customHeight="1">
      <c r="A91" s="3" t="s">
        <v>868</v>
      </c>
      <c r="B91" s="3" t="s">
        <v>1034</v>
      </c>
      <c r="D91" s="26" t="s">
        <v>869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41">
        <f t="shared" si="5"/>
        <v>0</v>
      </c>
      <c r="R91" s="39">
        <f>Q91/Summary!$Q$16</f>
        <v>0</v>
      </c>
      <c r="S91" s="39"/>
      <c r="T91" s="35"/>
      <c r="U91" s="40">
        <f t="shared" si="6"/>
        <v>0</v>
      </c>
    </row>
    <row r="92" spans="1:21" s="3" customFormat="1" ht="25.4" hidden="1" customHeight="1">
      <c r="A92" s="3" t="s">
        <v>870</v>
      </c>
      <c r="B92" s="3" t="s">
        <v>1034</v>
      </c>
      <c r="D92" s="26" t="s">
        <v>871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41">
        <f t="shared" si="5"/>
        <v>0</v>
      </c>
      <c r="R92" s="39">
        <f>Q92/Summary!$Q$16</f>
        <v>0</v>
      </c>
      <c r="S92" s="39"/>
      <c r="T92" s="35"/>
      <c r="U92" s="40">
        <f t="shared" si="6"/>
        <v>0</v>
      </c>
    </row>
    <row r="93" spans="1:21" s="3" customFormat="1" ht="25.4" hidden="1" customHeight="1">
      <c r="A93" s="3" t="s">
        <v>872</v>
      </c>
      <c r="B93" s="3" t="s">
        <v>1034</v>
      </c>
      <c r="D93" s="26" t="s">
        <v>873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41">
        <f t="shared" si="5"/>
        <v>0</v>
      </c>
      <c r="R93" s="39">
        <f>Q93/Summary!$Q$16</f>
        <v>0</v>
      </c>
      <c r="S93" s="39"/>
      <c r="T93" s="35"/>
      <c r="U93" s="40">
        <f t="shared" si="6"/>
        <v>0</v>
      </c>
    </row>
    <row r="94" spans="1:21" s="3" customFormat="1" ht="25.4" hidden="1" customHeight="1">
      <c r="A94" s="3" t="s">
        <v>874</v>
      </c>
      <c r="B94" s="3" t="s">
        <v>1034</v>
      </c>
      <c r="D94" s="26" t="s">
        <v>875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41">
        <f t="shared" si="5"/>
        <v>0</v>
      </c>
      <c r="R94" s="39">
        <f>Q94/Summary!$Q$16</f>
        <v>0</v>
      </c>
      <c r="S94" s="39"/>
      <c r="T94" s="35"/>
      <c r="U94" s="40">
        <f t="shared" si="6"/>
        <v>0</v>
      </c>
    </row>
    <row r="95" spans="1:21" s="3" customFormat="1" ht="25.4" hidden="1" customHeight="1">
      <c r="A95" s="3" t="s">
        <v>876</v>
      </c>
      <c r="B95" s="3" t="s">
        <v>1034</v>
      </c>
      <c r="D95" s="26" t="s">
        <v>877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41">
        <f t="shared" si="5"/>
        <v>0</v>
      </c>
      <c r="R95" s="39">
        <f>Q95/Summary!$Q$16</f>
        <v>0</v>
      </c>
      <c r="S95" s="39"/>
      <c r="T95" s="35"/>
      <c r="U95" s="40">
        <f t="shared" si="6"/>
        <v>0</v>
      </c>
    </row>
    <row r="96" spans="1:21" s="3" customFormat="1" ht="25.4" hidden="1" customHeight="1">
      <c r="A96" s="3" t="s">
        <v>878</v>
      </c>
      <c r="B96" s="3" t="s">
        <v>1034</v>
      </c>
      <c r="D96" s="26" t="s">
        <v>879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41">
        <f t="shared" si="5"/>
        <v>0</v>
      </c>
      <c r="R96" s="39">
        <f>Q96/Summary!$Q$16</f>
        <v>0</v>
      </c>
      <c r="S96" s="39"/>
      <c r="T96" s="35"/>
      <c r="U96" s="40">
        <f t="shared" si="6"/>
        <v>0</v>
      </c>
    </row>
    <row r="97" spans="1:21" s="3" customFormat="1" ht="25.4" hidden="1" customHeight="1">
      <c r="A97" s="3" t="s">
        <v>880</v>
      </c>
      <c r="B97" s="3" t="s">
        <v>1034</v>
      </c>
      <c r="D97" s="26" t="s">
        <v>881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41">
        <f t="shared" si="5"/>
        <v>0</v>
      </c>
      <c r="R97" s="39">
        <f>Q97/Summary!$Q$16</f>
        <v>0</v>
      </c>
      <c r="S97" s="39"/>
      <c r="T97" s="35"/>
      <c r="U97" s="40">
        <f t="shared" si="6"/>
        <v>0</v>
      </c>
    </row>
    <row r="98" spans="1:21" s="3" customFormat="1" ht="25.4" hidden="1" customHeight="1">
      <c r="A98" s="3" t="s">
        <v>882</v>
      </c>
      <c r="B98" s="3" t="s">
        <v>1034</v>
      </c>
      <c r="D98" s="26" t="s">
        <v>883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41">
        <f t="shared" si="5"/>
        <v>0</v>
      </c>
      <c r="R98" s="39">
        <f>Q98/Summary!$Q$16</f>
        <v>0</v>
      </c>
      <c r="S98" s="39"/>
      <c r="T98" s="35"/>
      <c r="U98" s="40">
        <f t="shared" si="6"/>
        <v>0</v>
      </c>
    </row>
    <row r="99" spans="1:21" s="3" customFormat="1" ht="25.4" hidden="1" customHeight="1">
      <c r="A99" s="3" t="s">
        <v>884</v>
      </c>
      <c r="B99" s="3" t="s">
        <v>1034</v>
      </c>
      <c r="D99" s="26" t="s">
        <v>885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41">
        <f t="shared" si="5"/>
        <v>0</v>
      </c>
      <c r="R99" s="39">
        <f>Q99/Summary!$Q$16</f>
        <v>0</v>
      </c>
      <c r="S99" s="39"/>
      <c r="T99" s="35"/>
      <c r="U99" s="40">
        <f t="shared" si="6"/>
        <v>0</v>
      </c>
    </row>
    <row r="100" spans="1:21" s="3" customFormat="1" ht="25.4" hidden="1" customHeight="1">
      <c r="A100" s="3" t="s">
        <v>886</v>
      </c>
      <c r="B100" s="3" t="s">
        <v>1034</v>
      </c>
      <c r="D100" s="26" t="s">
        <v>887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41">
        <f t="shared" si="5"/>
        <v>0</v>
      </c>
      <c r="R100" s="39">
        <f>Q100/Summary!$Q$16</f>
        <v>0</v>
      </c>
      <c r="S100" s="39"/>
      <c r="T100" s="35"/>
      <c r="U100" s="40">
        <f t="shared" si="6"/>
        <v>0</v>
      </c>
    </row>
    <row r="101" spans="1:21" s="3" customFormat="1" ht="25.4" hidden="1" customHeight="1">
      <c r="A101" s="3" t="s">
        <v>888</v>
      </c>
      <c r="B101" s="3" t="s">
        <v>1034</v>
      </c>
      <c r="D101" s="26" t="s">
        <v>889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41">
        <f t="shared" si="5"/>
        <v>0</v>
      </c>
      <c r="R101" s="39">
        <f>Q101/Summary!$Q$16</f>
        <v>0</v>
      </c>
      <c r="S101" s="39"/>
      <c r="T101" s="35"/>
      <c r="U101" s="40">
        <f t="shared" si="6"/>
        <v>0</v>
      </c>
    </row>
    <row r="102" spans="1:21" s="3" customFormat="1" ht="25.4" hidden="1" customHeight="1">
      <c r="A102" s="3" t="s">
        <v>890</v>
      </c>
      <c r="B102" s="3" t="s">
        <v>1034</v>
      </c>
      <c r="D102" s="26" t="s">
        <v>891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41">
        <f t="shared" si="5"/>
        <v>0</v>
      </c>
      <c r="R102" s="39">
        <f>Q102/Summary!$Q$16</f>
        <v>0</v>
      </c>
      <c r="S102" s="39"/>
      <c r="T102" s="35"/>
      <c r="U102" s="40">
        <f t="shared" si="6"/>
        <v>0</v>
      </c>
    </row>
    <row r="103" spans="1:21" s="3" customFormat="1" ht="25.4" hidden="1" customHeight="1">
      <c r="A103" s="3" t="s">
        <v>892</v>
      </c>
      <c r="B103" s="3" t="s">
        <v>1034</v>
      </c>
      <c r="D103" s="26" t="s">
        <v>893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41">
        <f t="shared" si="5"/>
        <v>0</v>
      </c>
      <c r="R103" s="39">
        <f>Q103/Summary!$Q$16</f>
        <v>0</v>
      </c>
      <c r="S103" s="39"/>
      <c r="T103" s="35"/>
      <c r="U103" s="40">
        <f t="shared" si="6"/>
        <v>0</v>
      </c>
    </row>
    <row r="104" spans="1:21" s="3" customFormat="1" ht="25.4" hidden="1" customHeight="1">
      <c r="A104" s="3" t="s">
        <v>894</v>
      </c>
      <c r="B104" s="3" t="s">
        <v>1034</v>
      </c>
      <c r="D104" s="26" t="s">
        <v>895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41">
        <f t="shared" si="5"/>
        <v>0</v>
      </c>
      <c r="R104" s="39">
        <f>Q104/Summary!$Q$16</f>
        <v>0</v>
      </c>
      <c r="S104" s="39"/>
      <c r="T104" s="35"/>
      <c r="U104" s="40">
        <f t="shared" si="6"/>
        <v>0</v>
      </c>
    </row>
    <row r="105" spans="1:21" s="3" customFormat="1" ht="25.4" hidden="1" customHeight="1">
      <c r="A105" s="3" t="s">
        <v>896</v>
      </c>
      <c r="B105" s="3" t="s">
        <v>1034</v>
      </c>
      <c r="D105" s="26" t="s">
        <v>897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41">
        <f t="shared" si="5"/>
        <v>0</v>
      </c>
      <c r="R105" s="39">
        <f>Q105/Summary!$Q$16</f>
        <v>0</v>
      </c>
      <c r="S105" s="39"/>
      <c r="T105" s="35"/>
      <c r="U105" s="40">
        <f t="shared" si="6"/>
        <v>0</v>
      </c>
    </row>
    <row r="106" spans="1:21" s="3" customFormat="1" ht="25.4" hidden="1" customHeight="1">
      <c r="A106" s="3" t="s">
        <v>898</v>
      </c>
      <c r="B106" s="3" t="s">
        <v>1034</v>
      </c>
      <c r="D106" s="26" t="s">
        <v>899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41">
        <f t="shared" si="5"/>
        <v>0</v>
      </c>
      <c r="R106" s="39">
        <f>Q106/Summary!$Q$16</f>
        <v>0</v>
      </c>
      <c r="S106" s="39"/>
      <c r="T106" s="35"/>
      <c r="U106" s="40">
        <f t="shared" si="6"/>
        <v>0</v>
      </c>
    </row>
    <row r="107" spans="1:21" s="3" customFormat="1" ht="25.4" hidden="1" customHeight="1">
      <c r="A107" s="3" t="s">
        <v>900</v>
      </c>
      <c r="B107" s="3" t="s">
        <v>1034</v>
      </c>
      <c r="D107" s="26" t="s">
        <v>901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41">
        <f t="shared" si="5"/>
        <v>0</v>
      </c>
      <c r="R107" s="39">
        <f>Q107/Summary!$Q$16</f>
        <v>0</v>
      </c>
      <c r="S107" s="39"/>
      <c r="T107" s="35"/>
      <c r="U107" s="40">
        <f t="shared" si="6"/>
        <v>0</v>
      </c>
    </row>
    <row r="108" spans="1:21" s="3" customFormat="1" ht="25.4" hidden="1" customHeight="1">
      <c r="A108" s="3" t="s">
        <v>902</v>
      </c>
      <c r="B108" s="3" t="s">
        <v>1034</v>
      </c>
      <c r="D108" s="26" t="s">
        <v>903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41">
        <f t="shared" si="5"/>
        <v>0</v>
      </c>
      <c r="R108" s="39">
        <f>Q108/Summary!$Q$16</f>
        <v>0</v>
      </c>
      <c r="S108" s="39"/>
      <c r="T108" s="35"/>
      <c r="U108" s="40">
        <f t="shared" si="6"/>
        <v>0</v>
      </c>
    </row>
    <row r="109" spans="1:21" s="3" customFormat="1" ht="25.4" hidden="1" customHeight="1">
      <c r="A109" s="3" t="s">
        <v>904</v>
      </c>
      <c r="B109" s="3" t="s">
        <v>1034</v>
      </c>
      <c r="D109" s="26" t="s">
        <v>905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41">
        <f t="shared" si="5"/>
        <v>0</v>
      </c>
      <c r="R109" s="39">
        <f>Q109/Summary!$Q$16</f>
        <v>0</v>
      </c>
      <c r="S109" s="39"/>
      <c r="T109" s="35"/>
      <c r="U109" s="40">
        <f t="shared" si="6"/>
        <v>0</v>
      </c>
    </row>
    <row r="110" spans="1:21" s="3" customFormat="1" ht="25.4" hidden="1" customHeight="1">
      <c r="A110" s="3" t="s">
        <v>906</v>
      </c>
      <c r="B110" s="3" t="s">
        <v>1034</v>
      </c>
      <c r="D110" s="26" t="s">
        <v>907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41">
        <f t="shared" si="5"/>
        <v>0</v>
      </c>
      <c r="R110" s="39">
        <f>Q110/Summary!$Q$16</f>
        <v>0</v>
      </c>
      <c r="S110" s="39"/>
      <c r="T110" s="35"/>
      <c r="U110" s="40">
        <f t="shared" si="6"/>
        <v>0</v>
      </c>
    </row>
    <row r="111" spans="1:21" s="3" customFormat="1" ht="25.4" hidden="1" customHeight="1">
      <c r="A111" s="3" t="s">
        <v>908</v>
      </c>
      <c r="B111" s="3" t="s">
        <v>1034</v>
      </c>
      <c r="D111" s="26" t="s">
        <v>909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41">
        <f t="shared" si="5"/>
        <v>0</v>
      </c>
      <c r="R111" s="39">
        <f>Q111/Summary!$Q$16</f>
        <v>0</v>
      </c>
      <c r="S111" s="39"/>
      <c r="T111" s="35"/>
      <c r="U111" s="40">
        <f t="shared" si="6"/>
        <v>0</v>
      </c>
    </row>
    <row r="112" spans="1:21" s="3" customFormat="1" ht="25.4" hidden="1" customHeight="1">
      <c r="A112" s="3" t="s">
        <v>910</v>
      </c>
      <c r="B112" s="3" t="s">
        <v>1034</v>
      </c>
      <c r="D112" s="26" t="s">
        <v>911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41">
        <f t="shared" si="5"/>
        <v>0</v>
      </c>
      <c r="R112" s="39">
        <f>Q112/Summary!$Q$16</f>
        <v>0</v>
      </c>
      <c r="S112" s="39"/>
      <c r="T112" s="35"/>
      <c r="U112" s="40">
        <f t="shared" si="6"/>
        <v>0</v>
      </c>
    </row>
    <row r="113" spans="1:21" s="3" customFormat="1" ht="25.4" hidden="1" customHeight="1">
      <c r="A113" s="3" t="s">
        <v>912</v>
      </c>
      <c r="B113" s="3" t="s">
        <v>1034</v>
      </c>
      <c r="D113" s="26" t="s">
        <v>913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41">
        <f t="shared" si="5"/>
        <v>0</v>
      </c>
      <c r="R113" s="39">
        <f>Q113/Summary!$Q$16</f>
        <v>0</v>
      </c>
      <c r="S113" s="39"/>
      <c r="T113" s="35"/>
      <c r="U113" s="40">
        <f t="shared" si="6"/>
        <v>0</v>
      </c>
    </row>
    <row r="114" spans="1:21" s="3" customFormat="1" ht="25.4" hidden="1" customHeight="1">
      <c r="A114" s="3" t="s">
        <v>914</v>
      </c>
      <c r="B114" s="3" t="s">
        <v>1034</v>
      </c>
      <c r="D114" s="26" t="s">
        <v>915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41">
        <f t="shared" si="5"/>
        <v>0</v>
      </c>
      <c r="R114" s="39">
        <f>Q114/Summary!$Q$16</f>
        <v>0</v>
      </c>
      <c r="S114" s="39"/>
      <c r="T114" s="35"/>
      <c r="U114" s="40">
        <f t="shared" si="6"/>
        <v>0</v>
      </c>
    </row>
    <row r="115" spans="1:21" s="3" customFormat="1" ht="25.4" hidden="1" customHeight="1">
      <c r="A115" s="3" t="s">
        <v>916</v>
      </c>
      <c r="B115" s="3" t="s">
        <v>1034</v>
      </c>
      <c r="D115" s="26" t="s">
        <v>917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41">
        <f t="shared" si="5"/>
        <v>0</v>
      </c>
      <c r="R115" s="39">
        <f>Q115/Summary!$Q$16</f>
        <v>0</v>
      </c>
      <c r="S115" s="39"/>
      <c r="T115" s="35"/>
      <c r="U115" s="40">
        <f t="shared" si="6"/>
        <v>0</v>
      </c>
    </row>
    <row r="116" spans="1:21" s="3" customFormat="1" ht="25.4" hidden="1" customHeight="1">
      <c r="A116" s="3" t="s">
        <v>918</v>
      </c>
      <c r="B116" s="3" t="s">
        <v>1034</v>
      </c>
      <c r="D116" s="26" t="s">
        <v>919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41">
        <f t="shared" si="5"/>
        <v>0</v>
      </c>
      <c r="R116" s="39">
        <f>Q116/Summary!$Q$16</f>
        <v>0</v>
      </c>
      <c r="S116" s="39"/>
      <c r="T116" s="35"/>
      <c r="U116" s="40">
        <f t="shared" si="6"/>
        <v>0</v>
      </c>
    </row>
    <row r="117" spans="1:21" s="3" customFormat="1" ht="25.4" hidden="1" customHeight="1">
      <c r="A117" s="3" t="s">
        <v>920</v>
      </c>
      <c r="B117" s="3" t="s">
        <v>1034</v>
      </c>
      <c r="D117" s="26" t="s">
        <v>921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41">
        <f t="shared" si="5"/>
        <v>0</v>
      </c>
      <c r="R117" s="39">
        <f>Q117/Summary!$Q$16</f>
        <v>0</v>
      </c>
      <c r="S117" s="39"/>
      <c r="T117" s="35"/>
      <c r="U117" s="40">
        <f t="shared" si="6"/>
        <v>0</v>
      </c>
    </row>
    <row r="118" spans="1:21" s="3" customFormat="1" ht="25.4" hidden="1" customHeight="1">
      <c r="A118" s="3" t="s">
        <v>922</v>
      </c>
      <c r="B118" s="3" t="s">
        <v>1034</v>
      </c>
      <c r="D118" s="26" t="s">
        <v>923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41">
        <f t="shared" si="5"/>
        <v>0</v>
      </c>
      <c r="R118" s="39">
        <f>Q118/Summary!$Q$16</f>
        <v>0</v>
      </c>
      <c r="S118" s="39"/>
      <c r="T118" s="35"/>
      <c r="U118" s="40">
        <f t="shared" si="6"/>
        <v>0</v>
      </c>
    </row>
    <row r="119" spans="1:21" s="3" customFormat="1" ht="25.4" hidden="1" customHeight="1">
      <c r="A119" s="3" t="s">
        <v>924</v>
      </c>
      <c r="B119" s="3" t="s">
        <v>1034</v>
      </c>
      <c r="D119" s="26" t="s">
        <v>925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41">
        <f t="shared" si="5"/>
        <v>0</v>
      </c>
      <c r="R119" s="39">
        <f>Q119/Summary!$Q$16</f>
        <v>0</v>
      </c>
      <c r="S119" s="39"/>
      <c r="T119" s="35"/>
      <c r="U119" s="40">
        <f t="shared" ref="U119:U150" si="7">-IF(Q119-T119=0,0,(Q119-T119)/T119)</f>
        <v>0</v>
      </c>
    </row>
    <row r="120" spans="1:21" s="3" customFormat="1" ht="25.4" hidden="1" customHeight="1">
      <c r="A120" s="3" t="s">
        <v>926</v>
      </c>
      <c r="B120" s="3" t="s">
        <v>1034</v>
      </c>
      <c r="D120" s="26" t="s">
        <v>927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41">
        <f t="shared" si="5"/>
        <v>0</v>
      </c>
      <c r="R120" s="39">
        <f>Q120/Summary!$Q$16</f>
        <v>0</v>
      </c>
      <c r="S120" s="39"/>
      <c r="T120" s="35"/>
      <c r="U120" s="40">
        <f t="shared" si="7"/>
        <v>0</v>
      </c>
    </row>
    <row r="121" spans="1:21" s="3" customFormat="1" ht="25.4" hidden="1" customHeight="1">
      <c r="A121" s="3" t="s">
        <v>928</v>
      </c>
      <c r="B121" s="3" t="s">
        <v>1034</v>
      </c>
      <c r="D121" s="26" t="s">
        <v>929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41">
        <f t="shared" si="5"/>
        <v>0</v>
      </c>
      <c r="R121" s="39">
        <f>Q121/Summary!$Q$16</f>
        <v>0</v>
      </c>
      <c r="S121" s="39"/>
      <c r="T121" s="35"/>
      <c r="U121" s="40">
        <f t="shared" si="7"/>
        <v>0</v>
      </c>
    </row>
    <row r="122" spans="1:21" s="3" customFormat="1" ht="25.4" hidden="1" customHeight="1">
      <c r="A122" s="3" t="s">
        <v>930</v>
      </c>
      <c r="B122" s="3" t="s">
        <v>1034</v>
      </c>
      <c r="D122" s="26" t="s">
        <v>931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41">
        <f t="shared" si="5"/>
        <v>0</v>
      </c>
      <c r="R122" s="39">
        <f>Q122/Summary!$Q$16</f>
        <v>0</v>
      </c>
      <c r="S122" s="39"/>
      <c r="T122" s="35"/>
      <c r="U122" s="40">
        <f t="shared" si="7"/>
        <v>0</v>
      </c>
    </row>
    <row r="123" spans="1:21" s="3" customFormat="1" ht="25.4" hidden="1" customHeight="1">
      <c r="A123" s="3" t="s">
        <v>932</v>
      </c>
      <c r="B123" s="3" t="s">
        <v>1034</v>
      </c>
      <c r="D123" s="26" t="s">
        <v>933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41">
        <f t="shared" si="5"/>
        <v>0</v>
      </c>
      <c r="R123" s="39">
        <f>Q123/Summary!$Q$16</f>
        <v>0</v>
      </c>
      <c r="S123" s="39"/>
      <c r="T123" s="35"/>
      <c r="U123" s="40">
        <f t="shared" si="7"/>
        <v>0</v>
      </c>
    </row>
    <row r="124" spans="1:21" s="3" customFormat="1" ht="25.4" hidden="1" customHeight="1">
      <c r="A124" s="3" t="s">
        <v>934</v>
      </c>
      <c r="B124" s="3" t="s">
        <v>1034</v>
      </c>
      <c r="D124" s="26" t="s">
        <v>935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41">
        <f t="shared" si="5"/>
        <v>0</v>
      </c>
      <c r="R124" s="39">
        <f>Q124/Summary!$Q$16</f>
        <v>0</v>
      </c>
      <c r="S124" s="39"/>
      <c r="T124" s="35"/>
      <c r="U124" s="40">
        <f t="shared" si="7"/>
        <v>0</v>
      </c>
    </row>
    <row r="125" spans="1:21" s="3" customFormat="1" ht="25.4" hidden="1" customHeight="1">
      <c r="A125" s="3" t="s">
        <v>936</v>
      </c>
      <c r="B125" s="3" t="s">
        <v>1034</v>
      </c>
      <c r="D125" s="26" t="s">
        <v>937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41">
        <f t="shared" si="5"/>
        <v>0</v>
      </c>
      <c r="R125" s="39">
        <f>Q125/Summary!$Q$16</f>
        <v>0</v>
      </c>
      <c r="S125" s="39"/>
      <c r="T125" s="35"/>
      <c r="U125" s="40">
        <f t="shared" si="7"/>
        <v>0</v>
      </c>
    </row>
    <row r="126" spans="1:21" s="3" customFormat="1" ht="25.4" hidden="1" customHeight="1">
      <c r="A126" s="3" t="s">
        <v>938</v>
      </c>
      <c r="B126" s="3" t="s">
        <v>1034</v>
      </c>
      <c r="D126" s="26" t="s">
        <v>939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41">
        <f t="shared" si="5"/>
        <v>0</v>
      </c>
      <c r="R126" s="39">
        <f>Q126/Summary!$Q$16</f>
        <v>0</v>
      </c>
      <c r="S126" s="39"/>
      <c r="T126" s="35"/>
      <c r="U126" s="40">
        <f t="shared" si="7"/>
        <v>0</v>
      </c>
    </row>
    <row r="127" spans="1:21" s="3" customFormat="1" ht="25.4" hidden="1" customHeight="1">
      <c r="A127" s="3" t="s">
        <v>940</v>
      </c>
      <c r="B127" s="3" t="s">
        <v>1034</v>
      </c>
      <c r="D127" s="26" t="s">
        <v>941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41">
        <f t="shared" si="5"/>
        <v>0</v>
      </c>
      <c r="R127" s="39">
        <f>Q127/Summary!$Q$16</f>
        <v>0</v>
      </c>
      <c r="S127" s="39"/>
      <c r="T127" s="35"/>
      <c r="U127" s="40">
        <f t="shared" si="7"/>
        <v>0</v>
      </c>
    </row>
    <row r="128" spans="1:21" s="3" customFormat="1" ht="25.4" hidden="1" customHeight="1">
      <c r="A128" s="3" t="s">
        <v>942</v>
      </c>
      <c r="B128" s="3" t="s">
        <v>1034</v>
      </c>
      <c r="D128" s="26" t="s">
        <v>943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41">
        <f t="shared" si="5"/>
        <v>0</v>
      </c>
      <c r="R128" s="39">
        <f>Q128/Summary!$Q$16</f>
        <v>0</v>
      </c>
      <c r="S128" s="39"/>
      <c r="T128" s="35"/>
      <c r="U128" s="40">
        <f t="shared" si="7"/>
        <v>0</v>
      </c>
    </row>
    <row r="129" spans="1:21" s="3" customFormat="1" ht="25.4" hidden="1" customHeight="1">
      <c r="A129" s="3" t="s">
        <v>944</v>
      </c>
      <c r="B129" s="3" t="s">
        <v>1034</v>
      </c>
      <c r="D129" s="26" t="s">
        <v>945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41">
        <f t="shared" si="5"/>
        <v>0</v>
      </c>
      <c r="R129" s="39">
        <f>Q129/Summary!$Q$16</f>
        <v>0</v>
      </c>
      <c r="S129" s="39"/>
      <c r="T129" s="35"/>
      <c r="U129" s="40">
        <f t="shared" si="7"/>
        <v>0</v>
      </c>
    </row>
    <row r="130" spans="1:21" s="3" customFormat="1" ht="25.4" hidden="1" customHeight="1">
      <c r="A130" s="3" t="s">
        <v>946</v>
      </c>
      <c r="B130" s="3" t="s">
        <v>1034</v>
      </c>
      <c r="D130" s="26" t="s">
        <v>947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41">
        <f t="shared" si="5"/>
        <v>0</v>
      </c>
      <c r="R130" s="39">
        <f>Q130/Summary!$Q$16</f>
        <v>0</v>
      </c>
      <c r="S130" s="39"/>
      <c r="T130" s="35"/>
      <c r="U130" s="40">
        <f t="shared" si="7"/>
        <v>0</v>
      </c>
    </row>
    <row r="131" spans="1:21" s="3" customFormat="1" ht="25.4" hidden="1" customHeight="1">
      <c r="A131" s="3" t="s">
        <v>948</v>
      </c>
      <c r="B131" s="3" t="s">
        <v>1034</v>
      </c>
      <c r="D131" s="26" t="s">
        <v>949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41">
        <f t="shared" si="5"/>
        <v>0</v>
      </c>
      <c r="R131" s="39">
        <f>Q131/Summary!$Q$16</f>
        <v>0</v>
      </c>
      <c r="S131" s="39"/>
      <c r="T131" s="35"/>
      <c r="U131" s="40">
        <f t="shared" si="7"/>
        <v>0</v>
      </c>
    </row>
    <row r="132" spans="1:21" s="3" customFormat="1" ht="25.4" hidden="1" customHeight="1">
      <c r="A132" s="3" t="s">
        <v>950</v>
      </c>
      <c r="B132" s="3" t="s">
        <v>1034</v>
      </c>
      <c r="D132" s="26" t="s">
        <v>951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41">
        <f t="shared" si="5"/>
        <v>0</v>
      </c>
      <c r="R132" s="39">
        <f>Q132/Summary!$Q$16</f>
        <v>0</v>
      </c>
      <c r="S132" s="39"/>
      <c r="T132" s="35"/>
      <c r="U132" s="40">
        <f t="shared" si="7"/>
        <v>0</v>
      </c>
    </row>
    <row r="133" spans="1:21" s="3" customFormat="1" ht="25.4" hidden="1" customHeight="1">
      <c r="A133" s="3" t="s">
        <v>952</v>
      </c>
      <c r="B133" s="3" t="s">
        <v>1034</v>
      </c>
      <c r="D133" s="26" t="s">
        <v>953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41">
        <f t="shared" si="5"/>
        <v>0</v>
      </c>
      <c r="R133" s="39">
        <f>Q133/Summary!$Q$16</f>
        <v>0</v>
      </c>
      <c r="S133" s="39"/>
      <c r="T133" s="35"/>
      <c r="U133" s="40">
        <f t="shared" si="7"/>
        <v>0</v>
      </c>
    </row>
    <row r="134" spans="1:21" s="3" customFormat="1" ht="25.4" hidden="1" customHeight="1">
      <c r="A134" s="3" t="s">
        <v>954</v>
      </c>
      <c r="B134" s="3" t="s">
        <v>1034</v>
      </c>
      <c r="D134" s="26" t="s">
        <v>955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41">
        <f t="shared" si="5"/>
        <v>0</v>
      </c>
      <c r="R134" s="39">
        <f>Q134/Summary!$Q$16</f>
        <v>0</v>
      </c>
      <c r="S134" s="39"/>
      <c r="T134" s="35"/>
      <c r="U134" s="40">
        <f t="shared" si="7"/>
        <v>0</v>
      </c>
    </row>
    <row r="135" spans="1:21" s="3" customFormat="1" ht="25.4" hidden="1" customHeight="1">
      <c r="A135" s="3" t="s">
        <v>956</v>
      </c>
      <c r="B135" s="3" t="s">
        <v>1034</v>
      </c>
      <c r="D135" s="26" t="s">
        <v>957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41">
        <f t="shared" si="5"/>
        <v>0</v>
      </c>
      <c r="R135" s="39">
        <f>Q135/Summary!$Q$16</f>
        <v>0</v>
      </c>
      <c r="S135" s="39"/>
      <c r="T135" s="35"/>
      <c r="U135" s="40">
        <f t="shared" si="7"/>
        <v>0</v>
      </c>
    </row>
    <row r="136" spans="1:21" s="3" customFormat="1" ht="25.4" hidden="1" customHeight="1">
      <c r="A136" s="3" t="s">
        <v>958</v>
      </c>
      <c r="B136" s="3" t="s">
        <v>1034</v>
      </c>
      <c r="D136" s="26" t="s">
        <v>959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41">
        <f t="shared" si="5"/>
        <v>0</v>
      </c>
      <c r="R136" s="39">
        <f>Q136/Summary!$Q$16</f>
        <v>0</v>
      </c>
      <c r="S136" s="39"/>
      <c r="T136" s="35"/>
      <c r="U136" s="40">
        <f t="shared" si="7"/>
        <v>0</v>
      </c>
    </row>
    <row r="137" spans="1:21" s="3" customFormat="1" ht="25.4" hidden="1" customHeight="1">
      <c r="A137" s="3" t="s">
        <v>960</v>
      </c>
      <c r="B137" s="3" t="s">
        <v>1034</v>
      </c>
      <c r="D137" s="26" t="s">
        <v>961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41">
        <f t="shared" si="5"/>
        <v>0</v>
      </c>
      <c r="R137" s="39">
        <f>Q137/Summary!$Q$16</f>
        <v>0</v>
      </c>
      <c r="S137" s="39"/>
      <c r="T137" s="35"/>
      <c r="U137" s="40">
        <f t="shared" si="7"/>
        <v>0</v>
      </c>
    </row>
    <row r="138" spans="1:21" s="3" customFormat="1" ht="25.4" hidden="1" customHeight="1">
      <c r="A138" s="3" t="s">
        <v>962</v>
      </c>
      <c r="B138" s="3" t="s">
        <v>1034</v>
      </c>
      <c r="D138" s="26" t="s">
        <v>963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41">
        <f t="shared" si="5"/>
        <v>0</v>
      </c>
      <c r="R138" s="39">
        <f>Q138/Summary!$Q$16</f>
        <v>0</v>
      </c>
      <c r="S138" s="39"/>
      <c r="T138" s="35"/>
      <c r="U138" s="40">
        <f t="shared" si="7"/>
        <v>0</v>
      </c>
    </row>
    <row r="139" spans="1:21" s="3" customFormat="1" ht="25.4" hidden="1" customHeight="1">
      <c r="A139" s="3" t="s">
        <v>964</v>
      </c>
      <c r="B139" s="3" t="s">
        <v>1034</v>
      </c>
      <c r="D139" s="26" t="s">
        <v>965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41">
        <f t="shared" si="5"/>
        <v>0</v>
      </c>
      <c r="R139" s="39">
        <f>Q139/Summary!$Q$16</f>
        <v>0</v>
      </c>
      <c r="S139" s="39"/>
      <c r="T139" s="35"/>
      <c r="U139" s="40">
        <f t="shared" si="7"/>
        <v>0</v>
      </c>
    </row>
    <row r="140" spans="1:21" s="3" customFormat="1" ht="25.4" hidden="1" customHeight="1">
      <c r="A140" s="3" t="s">
        <v>966</v>
      </c>
      <c r="B140" s="3" t="s">
        <v>1034</v>
      </c>
      <c r="D140" s="26" t="s">
        <v>967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41">
        <f t="shared" si="5"/>
        <v>0</v>
      </c>
      <c r="R140" s="39">
        <f>Q140/Summary!$Q$16</f>
        <v>0</v>
      </c>
      <c r="S140" s="39"/>
      <c r="T140" s="35"/>
      <c r="U140" s="40">
        <f t="shared" si="7"/>
        <v>0</v>
      </c>
    </row>
    <row r="141" spans="1:21" s="3" customFormat="1" ht="25.4" hidden="1" customHeight="1">
      <c r="A141" s="3" t="s">
        <v>968</v>
      </c>
      <c r="B141" s="3" t="s">
        <v>1034</v>
      </c>
      <c r="D141" s="26" t="s">
        <v>969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41">
        <f t="shared" si="5"/>
        <v>0</v>
      </c>
      <c r="R141" s="39">
        <f>Q141/Summary!$Q$16</f>
        <v>0</v>
      </c>
      <c r="S141" s="39"/>
      <c r="T141" s="35"/>
      <c r="U141" s="40">
        <f t="shared" si="7"/>
        <v>0</v>
      </c>
    </row>
    <row r="142" spans="1:21" s="3" customFormat="1" ht="25.4" hidden="1" customHeight="1">
      <c r="A142" s="3" t="s">
        <v>970</v>
      </c>
      <c r="B142" s="3" t="s">
        <v>1034</v>
      </c>
      <c r="D142" s="26" t="s">
        <v>971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41">
        <f t="shared" si="5"/>
        <v>0</v>
      </c>
      <c r="R142" s="39">
        <f>Q142/Summary!$Q$16</f>
        <v>0</v>
      </c>
      <c r="S142" s="39"/>
      <c r="T142" s="35"/>
      <c r="U142" s="40">
        <f t="shared" si="7"/>
        <v>0</v>
      </c>
    </row>
    <row r="143" spans="1:21" s="3" customFormat="1" ht="25.4" hidden="1" customHeight="1">
      <c r="A143" s="3" t="s">
        <v>972</v>
      </c>
      <c r="B143" s="3" t="s">
        <v>1034</v>
      </c>
      <c r="D143" s="26" t="s">
        <v>973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41">
        <f t="shared" si="5"/>
        <v>0</v>
      </c>
      <c r="R143" s="39">
        <f>Q143/Summary!$Q$16</f>
        <v>0</v>
      </c>
      <c r="S143" s="39"/>
      <c r="T143" s="35"/>
      <c r="U143" s="40">
        <f t="shared" si="7"/>
        <v>0</v>
      </c>
    </row>
    <row r="144" spans="1:21" s="3" customFormat="1" ht="25.4" hidden="1" customHeight="1">
      <c r="A144" s="3" t="s">
        <v>974</v>
      </c>
      <c r="B144" s="3" t="s">
        <v>1034</v>
      </c>
      <c r="D144" s="26" t="s">
        <v>975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41">
        <f t="shared" ref="Q144:Q156" si="8">SUM(E144:P144)</f>
        <v>0</v>
      </c>
      <c r="R144" s="39">
        <f>Q144/Summary!$Q$16</f>
        <v>0</v>
      </c>
      <c r="S144" s="39"/>
      <c r="T144" s="35"/>
      <c r="U144" s="40">
        <f t="shared" si="7"/>
        <v>0</v>
      </c>
    </row>
    <row r="145" spans="1:27" s="3" customFormat="1" ht="25.4" hidden="1" customHeight="1">
      <c r="A145" s="3" t="s">
        <v>976</v>
      </c>
      <c r="B145" s="3" t="s">
        <v>1034</v>
      </c>
      <c r="D145" s="26" t="s">
        <v>977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41">
        <f t="shared" si="8"/>
        <v>0</v>
      </c>
      <c r="R145" s="39">
        <f>Q145/Summary!$Q$16</f>
        <v>0</v>
      </c>
      <c r="S145" s="39"/>
      <c r="T145" s="35"/>
      <c r="U145" s="40">
        <f t="shared" si="7"/>
        <v>0</v>
      </c>
    </row>
    <row r="146" spans="1:27" s="3" customFormat="1" ht="25.4" hidden="1" customHeight="1">
      <c r="A146" s="3" t="s">
        <v>978</v>
      </c>
      <c r="B146" s="3" t="s">
        <v>1034</v>
      </c>
      <c r="D146" s="26" t="s">
        <v>979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41">
        <f t="shared" si="8"/>
        <v>0</v>
      </c>
      <c r="R146" s="39">
        <f>Q146/Summary!$Q$16</f>
        <v>0</v>
      </c>
      <c r="S146" s="39"/>
      <c r="T146" s="35"/>
      <c r="U146" s="40">
        <f t="shared" si="7"/>
        <v>0</v>
      </c>
    </row>
    <row r="147" spans="1:27" s="3" customFormat="1" ht="25.4" hidden="1" customHeight="1">
      <c r="A147" s="3" t="s">
        <v>980</v>
      </c>
      <c r="B147" s="3" t="s">
        <v>1034</v>
      </c>
      <c r="D147" s="26" t="s">
        <v>981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41">
        <f t="shared" si="8"/>
        <v>0</v>
      </c>
      <c r="R147" s="39">
        <f>Q147/Summary!$Q$16</f>
        <v>0</v>
      </c>
      <c r="S147" s="39"/>
      <c r="T147" s="35"/>
      <c r="U147" s="40">
        <f t="shared" si="7"/>
        <v>0</v>
      </c>
    </row>
    <row r="148" spans="1:27" s="3" customFormat="1" ht="25.4" hidden="1" customHeight="1">
      <c r="A148" s="3" t="s">
        <v>982</v>
      </c>
      <c r="B148" s="3" t="s">
        <v>1034</v>
      </c>
      <c r="D148" s="26" t="s">
        <v>983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41">
        <f t="shared" si="8"/>
        <v>0</v>
      </c>
      <c r="R148" s="39">
        <f>Q148/Summary!$Q$16</f>
        <v>0</v>
      </c>
      <c r="S148" s="39"/>
      <c r="T148" s="35"/>
      <c r="U148" s="40">
        <f t="shared" si="7"/>
        <v>0</v>
      </c>
    </row>
    <row r="149" spans="1:27" s="3" customFormat="1" ht="25.4" hidden="1" customHeight="1">
      <c r="A149" s="3" t="s">
        <v>984</v>
      </c>
      <c r="B149" s="3" t="s">
        <v>1034</v>
      </c>
      <c r="D149" s="26" t="s">
        <v>985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41">
        <f t="shared" si="8"/>
        <v>0</v>
      </c>
      <c r="R149" s="39">
        <f>Q149/Summary!$Q$16</f>
        <v>0</v>
      </c>
      <c r="S149" s="39"/>
      <c r="T149" s="35"/>
      <c r="U149" s="40">
        <f t="shared" si="7"/>
        <v>0</v>
      </c>
    </row>
    <row r="150" spans="1:27" s="3" customFormat="1" ht="25.4" hidden="1" customHeight="1">
      <c r="A150" s="3" t="s">
        <v>986</v>
      </c>
      <c r="B150" s="3" t="s">
        <v>1034</v>
      </c>
      <c r="D150" s="26" t="s">
        <v>987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41">
        <f t="shared" si="8"/>
        <v>0</v>
      </c>
      <c r="R150" s="39">
        <f>Q150/Summary!$Q$16</f>
        <v>0</v>
      </c>
      <c r="S150" s="39"/>
      <c r="T150" s="35"/>
      <c r="U150" s="40">
        <f t="shared" si="7"/>
        <v>0</v>
      </c>
    </row>
    <row r="151" spans="1:27" s="3" customFormat="1" ht="25.4" hidden="1" customHeight="1">
      <c r="A151" s="3" t="s">
        <v>988</v>
      </c>
      <c r="B151" s="3" t="s">
        <v>1034</v>
      </c>
      <c r="D151" s="26" t="s">
        <v>989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41">
        <f t="shared" si="8"/>
        <v>0</v>
      </c>
      <c r="R151" s="39">
        <f>Q151/Summary!$Q$16</f>
        <v>0</v>
      </c>
      <c r="S151" s="39"/>
      <c r="T151" s="35"/>
      <c r="U151" s="40">
        <f t="shared" ref="U151:U158" si="9">-IF(Q151-T151=0,0,(Q151-T151)/T151)</f>
        <v>0</v>
      </c>
    </row>
    <row r="152" spans="1:27" s="3" customFormat="1" ht="25.4" hidden="1" customHeight="1">
      <c r="A152" s="3" t="s">
        <v>990</v>
      </c>
      <c r="B152" s="3" t="s">
        <v>1034</v>
      </c>
      <c r="D152" s="26" t="s">
        <v>991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41">
        <f t="shared" si="8"/>
        <v>0</v>
      </c>
      <c r="R152" s="39">
        <f>Q152/Summary!$Q$16</f>
        <v>0</v>
      </c>
      <c r="S152" s="39"/>
      <c r="T152" s="35"/>
      <c r="U152" s="40">
        <f t="shared" si="9"/>
        <v>0</v>
      </c>
    </row>
    <row r="153" spans="1:27" s="3" customFormat="1" ht="25.4" hidden="1" customHeight="1">
      <c r="A153" s="3" t="s">
        <v>992</v>
      </c>
      <c r="B153" s="3" t="s">
        <v>1034</v>
      </c>
      <c r="D153" s="26" t="s">
        <v>993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41">
        <f t="shared" si="8"/>
        <v>0</v>
      </c>
      <c r="R153" s="39">
        <f>Q153/Summary!$Q$16</f>
        <v>0</v>
      </c>
      <c r="S153" s="39"/>
      <c r="T153" s="35"/>
      <c r="U153" s="40">
        <f t="shared" si="9"/>
        <v>0</v>
      </c>
    </row>
    <row r="154" spans="1:27" s="3" customFormat="1" ht="25.4" hidden="1" customHeight="1">
      <c r="A154" s="3" t="s">
        <v>994</v>
      </c>
      <c r="B154" s="3" t="s">
        <v>1034</v>
      </c>
      <c r="D154" s="26" t="s">
        <v>995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41">
        <f t="shared" si="8"/>
        <v>0</v>
      </c>
      <c r="R154" s="39">
        <f>Q154/Summary!$Q$16</f>
        <v>0</v>
      </c>
      <c r="S154" s="39"/>
      <c r="T154" s="35"/>
      <c r="U154" s="40">
        <f t="shared" si="9"/>
        <v>0</v>
      </c>
    </row>
    <row r="155" spans="1:27" s="3" customFormat="1" ht="25.4" hidden="1" customHeight="1">
      <c r="A155" s="3" t="s">
        <v>996</v>
      </c>
      <c r="B155" s="3" t="s">
        <v>1034</v>
      </c>
      <c r="D155" s="26" t="s">
        <v>997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41">
        <f t="shared" si="8"/>
        <v>0</v>
      </c>
      <c r="R155" s="39">
        <f>Q155/Summary!$Q$16</f>
        <v>0</v>
      </c>
      <c r="S155" s="39"/>
      <c r="T155" s="35"/>
      <c r="U155" s="40">
        <f t="shared" si="9"/>
        <v>0</v>
      </c>
    </row>
    <row r="156" spans="1:27" s="3" customFormat="1" ht="25.4" customHeight="1">
      <c r="A156" s="3" t="s">
        <v>595</v>
      </c>
      <c r="B156" s="3" t="s">
        <v>1034</v>
      </c>
      <c r="D156" s="26" t="s">
        <v>596</v>
      </c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41">
        <f t="shared" si="8"/>
        <v>0</v>
      </c>
      <c r="R156" s="39">
        <f>Q156/Summary!$Q$16</f>
        <v>0</v>
      </c>
      <c r="S156" s="39"/>
      <c r="T156" s="35"/>
      <c r="U156" s="40">
        <f t="shared" si="9"/>
        <v>0</v>
      </c>
    </row>
    <row r="157" spans="1:27" s="19" customFormat="1" ht="25.4" customHeight="1">
      <c r="D157" s="21" t="s">
        <v>597</v>
      </c>
      <c r="E157" s="45">
        <f>SUM(E15:E156)</f>
        <v>202734.85999999943</v>
      </c>
      <c r="F157" s="45">
        <f t="shared" ref="F157:P157" si="10">SUM(F15:F156)</f>
        <v>203496</v>
      </c>
      <c r="G157" s="45">
        <f t="shared" si="10"/>
        <v>206143.34999999942</v>
      </c>
      <c r="H157" s="45">
        <f t="shared" si="10"/>
        <v>207886</v>
      </c>
      <c r="I157" s="45">
        <f t="shared" si="10"/>
        <v>215063.4600000004</v>
      </c>
      <c r="J157" s="45">
        <f t="shared" si="10"/>
        <v>215763.32000000012</v>
      </c>
      <c r="K157" s="45">
        <f t="shared" si="10"/>
        <v>221302.52000000075</v>
      </c>
      <c r="L157" s="45">
        <f t="shared" si="10"/>
        <v>220860.52000000075</v>
      </c>
      <c r="M157" s="45">
        <f t="shared" si="10"/>
        <v>216162.80000000034</v>
      </c>
      <c r="N157" s="45">
        <f t="shared" si="10"/>
        <v>222201.23999999985</v>
      </c>
      <c r="O157" s="45">
        <f t="shared" si="10"/>
        <v>223587.76000000068</v>
      </c>
      <c r="P157" s="45">
        <f t="shared" si="10"/>
        <v>225571.83999999973</v>
      </c>
      <c r="Q157" s="45">
        <f>SUM(Q15:Q156)</f>
        <v>2580773.6700000013</v>
      </c>
      <c r="R157" s="39">
        <f>Q157/Summary!$Q$16</f>
        <v>3.2401330789263903E-2</v>
      </c>
      <c r="S157" s="39"/>
      <c r="T157" s="35"/>
      <c r="U157" s="40" t="e">
        <f t="shared" si="9"/>
        <v>#DIV/0!</v>
      </c>
    </row>
    <row r="158" spans="1:27" s="19" customFormat="1" ht="25.4" customHeight="1">
      <c r="A158" s="19" t="s">
        <v>1035</v>
      </c>
      <c r="B158" s="3" t="s">
        <v>1034</v>
      </c>
      <c r="D158" s="21" t="s">
        <v>601</v>
      </c>
      <c r="E158" s="27">
        <f>-E12-E157</f>
        <v>-294910.12999999942</v>
      </c>
      <c r="F158" s="27">
        <f>-F12-F157</f>
        <v>-286942.90000000002</v>
      </c>
      <c r="G158" s="27">
        <f>-G12-G157</f>
        <v>-289327.91999999946</v>
      </c>
      <c r="H158" s="27">
        <f t="shared" ref="H158:O158" si="11">-H12-H157</f>
        <v>-293717.59999999998</v>
      </c>
      <c r="I158" s="27">
        <f t="shared" si="11"/>
        <v>-301850.03000000038</v>
      </c>
      <c r="J158" s="27">
        <f t="shared" si="11"/>
        <v>-298560.1700000001</v>
      </c>
      <c r="K158" s="27">
        <f t="shared" si="11"/>
        <v>-303995.88000000076</v>
      </c>
      <c r="L158" s="27">
        <f t="shared" si="11"/>
        <v>-303568.89000000071</v>
      </c>
      <c r="M158" s="27">
        <f t="shared" si="11"/>
        <v>-298880.58000000031</v>
      </c>
      <c r="N158" s="27">
        <f t="shared" si="11"/>
        <v>-312025.64999999985</v>
      </c>
      <c r="O158" s="27">
        <f t="shared" si="11"/>
        <v>-306251.82000000065</v>
      </c>
      <c r="P158" s="27">
        <f>-P12-P157</f>
        <v>-308203.31999999972</v>
      </c>
      <c r="Q158" s="41">
        <f>SUM(E158:P158)</f>
        <v>-3598234.890000002</v>
      </c>
      <c r="T158" s="35"/>
      <c r="U158" s="40" t="e">
        <f t="shared" si="9"/>
        <v>#DIV/0!</v>
      </c>
      <c r="V158" s="19">
        <v>829325.68999999936</v>
      </c>
      <c r="Y158" s="416" t="s">
        <v>1334</v>
      </c>
      <c r="Z158" s="416" t="s">
        <v>1333</v>
      </c>
      <c r="AA158" s="416" t="s">
        <v>1342</v>
      </c>
    </row>
    <row r="159" spans="1:27" s="42" customFormat="1" ht="25.4" customHeight="1">
      <c r="D159" s="46" t="s">
        <v>353</v>
      </c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15">
        <f>Q158+'Rooms Summary'!Q154+'F&amp;B Summary'!Q201+OOD!Q96+'A&amp;G'!Q194+'R&amp;M'!Q193+'S&amp;M'!Q192+Laundry!Q191+Z165</f>
        <v>-2.5611370801925659E-9</v>
      </c>
      <c r="T159" s="35"/>
      <c r="U159" s="40"/>
      <c r="V159" s="42">
        <v>1813309.6199999996</v>
      </c>
      <c r="X159" s="42" t="s">
        <v>1340</v>
      </c>
      <c r="Y159" s="42">
        <f>+'Rooms Summary'!Q154</f>
        <v>508321.29999999987</v>
      </c>
      <c r="Z159" s="42">
        <v>132037.62</v>
      </c>
      <c r="AA159" s="42">
        <f>+Y159+Z159</f>
        <v>640358.91999999993</v>
      </c>
    </row>
    <row r="160" spans="1:27" s="3" customFormat="1" ht="25.4" customHeight="1">
      <c r="D160" s="19" t="s">
        <v>602</v>
      </c>
      <c r="E160" s="48"/>
      <c r="F160" s="48"/>
      <c r="G160" s="48"/>
      <c r="H160" s="48"/>
      <c r="I160" s="48"/>
      <c r="T160" s="35"/>
      <c r="U160" s="40"/>
      <c r="V160" s="3">
        <v>116380.39</v>
      </c>
      <c r="X160" s="3" t="s">
        <v>1335</v>
      </c>
      <c r="Y160" s="3">
        <f>+'F&amp;B Summary'!Q201</f>
        <v>1529363.38</v>
      </c>
      <c r="Z160" s="3">
        <v>242193.58</v>
      </c>
      <c r="AA160" s="42">
        <f t="shared" ref="AA160:AA165" si="12">+Y160+Z160</f>
        <v>1771556.96</v>
      </c>
    </row>
    <row r="161" spans="1:27" s="3" customFormat="1" ht="25.4" customHeight="1">
      <c r="D161" s="19" t="s">
        <v>431</v>
      </c>
      <c r="E161" s="48"/>
      <c r="F161" s="48"/>
      <c r="G161" s="48"/>
      <c r="H161" s="48"/>
      <c r="I161" s="48"/>
      <c r="T161" s="35"/>
      <c r="U161" s="40"/>
      <c r="V161" s="3">
        <v>516838.68</v>
      </c>
      <c r="X161" s="3" t="s">
        <v>1336</v>
      </c>
      <c r="Y161" s="3">
        <f>+OOD!Q96</f>
        <v>95238.109999999986</v>
      </c>
      <c r="Z161" s="3">
        <v>31870.98</v>
      </c>
      <c r="AA161" s="42">
        <f t="shared" si="12"/>
        <v>127109.08999999998</v>
      </c>
    </row>
    <row r="162" spans="1:27" s="3" customFormat="1" ht="25.4" customHeight="1">
      <c r="A162" s="256" t="s">
        <v>297</v>
      </c>
      <c r="B162" s="3" t="s">
        <v>1034</v>
      </c>
      <c r="D162" s="26" t="s">
        <v>299</v>
      </c>
      <c r="E162" s="27">
        <v>9700</v>
      </c>
      <c r="F162" s="27">
        <v>9700</v>
      </c>
      <c r="G162" s="27">
        <v>9700</v>
      </c>
      <c r="H162" s="27">
        <v>9700</v>
      </c>
      <c r="I162" s="27">
        <v>9700</v>
      </c>
      <c r="J162" s="27">
        <v>9700</v>
      </c>
      <c r="K162" s="27">
        <v>9700</v>
      </c>
      <c r="L162" s="27">
        <v>9700</v>
      </c>
      <c r="M162" s="27">
        <v>9700</v>
      </c>
      <c r="N162" s="27">
        <v>9700</v>
      </c>
      <c r="O162" s="27">
        <v>9700</v>
      </c>
      <c r="P162" s="27">
        <v>9700</v>
      </c>
      <c r="Q162" s="41">
        <f>SUM(E162:P162)</f>
        <v>116400</v>
      </c>
      <c r="R162" s="39">
        <f>Q162/Summary!$Q$16</f>
        <v>1.461389252266479E-3</v>
      </c>
      <c r="S162" s="39"/>
      <c r="T162" s="35"/>
      <c r="U162" s="40" t="e">
        <f>-IF(Q162-T162=0,0,(Q162-T162)/T162)</f>
        <v>#DIV/0!</v>
      </c>
      <c r="V162" s="3">
        <v>237342.41999999993</v>
      </c>
      <c r="X162" s="3" t="s">
        <v>1337</v>
      </c>
      <c r="Y162" s="3">
        <f>+'A&amp;G'!Q194</f>
        <v>493493.22</v>
      </c>
      <c r="Z162" s="3">
        <v>72218.63</v>
      </c>
      <c r="AA162" s="42">
        <f t="shared" si="12"/>
        <v>565711.85</v>
      </c>
    </row>
    <row r="163" spans="1:27" s="3" customFormat="1" ht="25.4" customHeight="1">
      <c r="A163" s="50" t="s">
        <v>300</v>
      </c>
      <c r="B163" s="3" t="s">
        <v>1034</v>
      </c>
      <c r="D163" s="26" t="s">
        <v>434</v>
      </c>
      <c r="E163" s="27">
        <v>31500</v>
      </c>
      <c r="F163" s="27">
        <v>31500</v>
      </c>
      <c r="G163" s="27">
        <v>31500</v>
      </c>
      <c r="H163" s="27">
        <v>31500</v>
      </c>
      <c r="I163" s="27">
        <v>31500</v>
      </c>
      <c r="J163" s="27">
        <v>31500</v>
      </c>
      <c r="K163" s="27">
        <v>31500</v>
      </c>
      <c r="L163" s="27">
        <v>31500</v>
      </c>
      <c r="M163" s="27">
        <v>31500</v>
      </c>
      <c r="N163" s="27">
        <v>31500</v>
      </c>
      <c r="O163" s="27">
        <v>31500</v>
      </c>
      <c r="P163" s="27">
        <v>31500</v>
      </c>
      <c r="Q163" s="41">
        <f>SUM(E163:P163)</f>
        <v>378000</v>
      </c>
      <c r="R163" s="39">
        <f>Q163/Summary!$Q$16</f>
        <v>4.7457486027210399E-3</v>
      </c>
      <c r="S163" s="39"/>
      <c r="T163" s="35"/>
      <c r="U163" s="40" t="e">
        <f>-IF(Q163-T163=0,0,(Q163-T163)/T163)</f>
        <v>#DIV/0!</v>
      </c>
      <c r="V163" s="3">
        <v>175944.95999999988</v>
      </c>
      <c r="X163" s="3" t="s">
        <v>1338</v>
      </c>
      <c r="Y163" s="3">
        <f>+'S&amp;M'!Q192</f>
        <v>180551.15</v>
      </c>
      <c r="AA163" s="42">
        <f t="shared" si="12"/>
        <v>180551.15</v>
      </c>
    </row>
    <row r="164" spans="1:27" s="3" customFormat="1" ht="25.4" customHeight="1">
      <c r="B164" s="51"/>
      <c r="D164" s="21" t="s">
        <v>437</v>
      </c>
      <c r="E164" s="52">
        <f>SUM(E162:E163)</f>
        <v>41200</v>
      </c>
      <c r="F164" s="52">
        <f t="shared" ref="F164:P164" si="13">SUM(F162:F163)</f>
        <v>41200</v>
      </c>
      <c r="G164" s="52">
        <f t="shared" si="13"/>
        <v>41200</v>
      </c>
      <c r="H164" s="52">
        <f t="shared" si="13"/>
        <v>41200</v>
      </c>
      <c r="I164" s="52">
        <f t="shared" si="13"/>
        <v>41200</v>
      </c>
      <c r="J164" s="52">
        <f t="shared" si="13"/>
        <v>41200</v>
      </c>
      <c r="K164" s="52">
        <f t="shared" si="13"/>
        <v>41200</v>
      </c>
      <c r="L164" s="52">
        <f t="shared" si="13"/>
        <v>41200</v>
      </c>
      <c r="M164" s="52">
        <f t="shared" si="13"/>
        <v>41200</v>
      </c>
      <c r="N164" s="52">
        <f t="shared" si="13"/>
        <v>41200</v>
      </c>
      <c r="O164" s="52">
        <f t="shared" si="13"/>
        <v>41200</v>
      </c>
      <c r="P164" s="52">
        <f t="shared" si="13"/>
        <v>41200</v>
      </c>
      <c r="Q164" s="52">
        <f t="shared" ref="Q164" si="14">SUM(Q162:Q163)</f>
        <v>494400</v>
      </c>
      <c r="R164" s="39">
        <f>Q164/Summary!$Q$16</f>
        <v>6.2071378549875189E-3</v>
      </c>
      <c r="S164" s="39"/>
      <c r="T164" s="35"/>
      <c r="U164" s="40" t="e">
        <f>-IF(Q164-T164=0,0,(Q164-T164)/T164)</f>
        <v>#DIV/0!</v>
      </c>
      <c r="V164" s="3">
        <v>0</v>
      </c>
      <c r="X164" s="3" t="s">
        <v>1339</v>
      </c>
      <c r="Y164" s="3">
        <f>+Laundry!Q191</f>
        <v>96291.359999999986</v>
      </c>
      <c r="AA164" s="42">
        <f t="shared" si="12"/>
        <v>96291.359999999986</v>
      </c>
    </row>
    <row r="165" spans="1:27" s="3" customFormat="1" ht="25.4" customHeight="1">
      <c r="B165" s="51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T165" s="35"/>
      <c r="U165" s="40"/>
      <c r="X165" s="19" t="s">
        <v>1183</v>
      </c>
      <c r="Y165" s="19">
        <f>SUM(Y159:Y164)</f>
        <v>2903258.5199999996</v>
      </c>
      <c r="Z165" s="19">
        <f>SUM(Z159:Z164)</f>
        <v>478320.80999999994</v>
      </c>
      <c r="AA165" s="417">
        <f t="shared" si="12"/>
        <v>3381579.3299999996</v>
      </c>
    </row>
    <row r="166" spans="1:27" s="3" customFormat="1" ht="25.4" customHeight="1">
      <c r="A166" s="254" t="s">
        <v>603</v>
      </c>
      <c r="B166" s="3" t="s">
        <v>1034</v>
      </c>
      <c r="D166" s="26" t="s">
        <v>309</v>
      </c>
      <c r="E166" s="27">
        <v>8689.65</v>
      </c>
      <c r="F166" s="27">
        <v>0</v>
      </c>
      <c r="G166" s="27">
        <v>0</v>
      </c>
      <c r="H166" s="27">
        <v>2606.88</v>
      </c>
      <c r="I166" s="27">
        <v>3793.1000000000004</v>
      </c>
      <c r="J166" s="27">
        <v>0</v>
      </c>
      <c r="K166" s="27">
        <v>0</v>
      </c>
      <c r="L166" s="27">
        <v>0</v>
      </c>
      <c r="M166" s="27">
        <v>0</v>
      </c>
      <c r="N166" s="27">
        <v>7034.48</v>
      </c>
      <c r="O166" s="27">
        <v>0</v>
      </c>
      <c r="P166" s="27">
        <v>0</v>
      </c>
      <c r="Q166" s="41">
        <f>SUM(E166:P166)</f>
        <v>22124.11</v>
      </c>
      <c r="R166" s="39">
        <f>Q166/Summary!$Q$16</f>
        <v>2.7776577809245128E-4</v>
      </c>
      <c r="S166" s="39"/>
      <c r="T166" s="35"/>
      <c r="U166" s="40" t="e">
        <f>-IF(Q166-T166=0,0,(Q166-T166)/T166)</f>
        <v>#DIV/0!</v>
      </c>
      <c r="X166" s="343" t="s">
        <v>1341</v>
      </c>
      <c r="Y166" s="3">
        <v>78962.100000000006</v>
      </c>
      <c r="Z166" s="3">
        <v>33840.870000000003</v>
      </c>
      <c r="AA166" s="3">
        <f>+Y166+Z166</f>
        <v>112802.97</v>
      </c>
    </row>
    <row r="167" spans="1:27" s="3" customFormat="1" ht="25.4" customHeight="1">
      <c r="A167" s="54" t="s">
        <v>310</v>
      </c>
      <c r="B167" s="3" t="s">
        <v>1034</v>
      </c>
      <c r="D167" s="26" t="s">
        <v>311</v>
      </c>
      <c r="E167" s="27">
        <v>515</v>
      </c>
      <c r="F167" s="27">
        <v>515</v>
      </c>
      <c r="G167" s="27">
        <v>515</v>
      </c>
      <c r="H167" s="27">
        <v>515</v>
      </c>
      <c r="I167" s="27">
        <v>515</v>
      </c>
      <c r="J167" s="27">
        <v>515</v>
      </c>
      <c r="K167" s="27">
        <v>515</v>
      </c>
      <c r="L167" s="27">
        <v>515</v>
      </c>
      <c r="M167" s="27">
        <v>515</v>
      </c>
      <c r="N167" s="27">
        <v>515</v>
      </c>
      <c r="O167" s="27">
        <v>515</v>
      </c>
      <c r="P167" s="27">
        <v>515</v>
      </c>
      <c r="Q167" s="41">
        <f t="shared" ref="Q167:Q170" si="15">SUM(E167:P167)</f>
        <v>6180</v>
      </c>
      <c r="R167" s="39">
        <f>Q167/Summary!$Q$16</f>
        <v>7.7589223187343978E-5</v>
      </c>
      <c r="S167" s="39"/>
      <c r="T167" s="35"/>
      <c r="U167" s="40" t="e">
        <f>-IF(Q167-T167=0,0,(Q167-T167)/T167)</f>
        <v>#DIV/0!</v>
      </c>
      <c r="AA167" s="3">
        <f>+AA165+AA166</f>
        <v>3494382.3</v>
      </c>
    </row>
    <row r="168" spans="1:27" s="3" customFormat="1" ht="25.4" customHeight="1">
      <c r="A168" s="254" t="s">
        <v>604</v>
      </c>
      <c r="B168" s="3" t="s">
        <v>1034</v>
      </c>
      <c r="D168" s="26" t="s">
        <v>313</v>
      </c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41">
        <f t="shared" si="15"/>
        <v>0</v>
      </c>
      <c r="R168" s="39">
        <f>Q168/Summary!$Q$16</f>
        <v>0</v>
      </c>
      <c r="S168" s="39"/>
      <c r="T168" s="35"/>
      <c r="U168" s="40"/>
    </row>
    <row r="169" spans="1:27" s="3" customFormat="1" ht="25.4" customHeight="1">
      <c r="A169" s="254" t="s">
        <v>605</v>
      </c>
      <c r="B169" s="3" t="s">
        <v>1034</v>
      </c>
      <c r="D169" s="26" t="s">
        <v>315</v>
      </c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41">
        <f t="shared" si="15"/>
        <v>0</v>
      </c>
      <c r="R169" s="39">
        <f>Q169/Summary!$Q$16</f>
        <v>0</v>
      </c>
      <c r="S169" s="39"/>
      <c r="T169" s="35"/>
      <c r="U169" s="40">
        <f>-IF(Q169-T169=0,0,(Q169-T169)/T169)</f>
        <v>0</v>
      </c>
    </row>
    <row r="170" spans="1:27" s="3" customFormat="1" ht="25.4" customHeight="1">
      <c r="A170" s="254" t="s">
        <v>606</v>
      </c>
      <c r="B170" s="3" t="s">
        <v>1034</v>
      </c>
      <c r="D170" s="26" t="s">
        <v>1070</v>
      </c>
      <c r="E170" s="27">
        <v>18549.099999999999</v>
      </c>
      <c r="F170" s="27">
        <v>18498.41</v>
      </c>
      <c r="G170" s="27">
        <v>18464.63</v>
      </c>
      <c r="H170" s="27">
        <v>18479.580000000002</v>
      </c>
      <c r="I170" s="27">
        <v>18429.84</v>
      </c>
      <c r="J170" s="27">
        <v>18381.62</v>
      </c>
      <c r="K170" s="27">
        <v>18363.599999999999</v>
      </c>
      <c r="L170" s="27">
        <v>18368.11</v>
      </c>
      <c r="M170" s="27">
        <v>18375.98</v>
      </c>
      <c r="N170" s="27">
        <v>18402.63</v>
      </c>
      <c r="O170" s="27">
        <v>18367.34</v>
      </c>
      <c r="P170" s="27">
        <v>18360.03</v>
      </c>
      <c r="Q170" s="41">
        <f t="shared" si="15"/>
        <v>221040.87000000002</v>
      </c>
      <c r="R170" s="39">
        <f>Q170/Summary!$Q$16</f>
        <v>2.7751439152030239E-3</v>
      </c>
      <c r="S170" s="39"/>
      <c r="T170" s="35"/>
      <c r="U170" s="40" t="e">
        <f>-IF(Q170-T170=0,0,(Q170-T170)/T170)</f>
        <v>#DIV/0!</v>
      </c>
      <c r="X170" s="343"/>
    </row>
    <row r="171" spans="1:27" s="19" customFormat="1" ht="25.4" customHeight="1">
      <c r="A171" s="54"/>
      <c r="B171" s="51"/>
      <c r="D171" s="19" t="s">
        <v>318</v>
      </c>
      <c r="E171" s="52">
        <f>SUM(E166:E170)</f>
        <v>27753.75</v>
      </c>
      <c r="F171" s="52">
        <f t="shared" ref="F171:P171" si="16">SUM(F166:F170)</f>
        <v>19013.41</v>
      </c>
      <c r="G171" s="52">
        <f t="shared" si="16"/>
        <v>18979.63</v>
      </c>
      <c r="H171" s="52">
        <f t="shared" si="16"/>
        <v>21601.460000000003</v>
      </c>
      <c r="I171" s="52">
        <f t="shared" si="16"/>
        <v>22737.940000000002</v>
      </c>
      <c r="J171" s="52">
        <f t="shared" si="16"/>
        <v>18896.62</v>
      </c>
      <c r="K171" s="52">
        <f t="shared" si="16"/>
        <v>18878.599999999999</v>
      </c>
      <c r="L171" s="52">
        <f t="shared" si="16"/>
        <v>18883.11</v>
      </c>
      <c r="M171" s="52">
        <f t="shared" si="16"/>
        <v>18890.98</v>
      </c>
      <c r="N171" s="52">
        <f t="shared" si="16"/>
        <v>25952.11</v>
      </c>
      <c r="O171" s="52">
        <f t="shared" si="16"/>
        <v>18882.34</v>
      </c>
      <c r="P171" s="52">
        <f t="shared" si="16"/>
        <v>18875.03</v>
      </c>
      <c r="Q171" s="52">
        <f t="shared" ref="Q171" si="17">SUM(Q166:Q170)</f>
        <v>249344.98000000004</v>
      </c>
      <c r="R171" s="39">
        <f>Q171/Summary!$Q$16</f>
        <v>3.1304989164828195E-3</v>
      </c>
      <c r="S171" s="39"/>
      <c r="T171" s="35"/>
      <c r="U171" s="40" t="e">
        <f>-IF(Q171-T171=0,0,(Q171-T171)/T171)</f>
        <v>#DIV/0!</v>
      </c>
    </row>
    <row r="172" spans="1:27" s="3" customFormat="1" ht="25.4" customHeight="1">
      <c r="A172" s="50"/>
      <c r="D172" s="19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T172" s="35"/>
      <c r="U172" s="40"/>
    </row>
    <row r="173" spans="1:27" s="3" customFormat="1" ht="25.4" customHeight="1">
      <c r="A173" s="254" t="s">
        <v>609</v>
      </c>
      <c r="B173" s="3" t="s">
        <v>1034</v>
      </c>
      <c r="D173" s="26" t="s">
        <v>320</v>
      </c>
      <c r="E173" s="27">
        <v>6343.7999999999993</v>
      </c>
      <c r="F173" s="27">
        <v>6343.8</v>
      </c>
      <c r="G173" s="27">
        <v>6343.8</v>
      </c>
      <c r="H173" s="27">
        <v>6343.8</v>
      </c>
      <c r="I173" s="27">
        <v>6343.8</v>
      </c>
      <c r="J173" s="27">
        <v>6343.8</v>
      </c>
      <c r="K173" s="27">
        <v>6343.8</v>
      </c>
      <c r="L173" s="27">
        <v>6343.8</v>
      </c>
      <c r="M173" s="27">
        <v>6343.8</v>
      </c>
      <c r="N173" s="27">
        <v>6343.8</v>
      </c>
      <c r="O173" s="27">
        <v>6343.8</v>
      </c>
      <c r="P173" s="27">
        <v>6343.8</v>
      </c>
      <c r="Q173" s="41">
        <f>SUM(E173:P173)</f>
        <v>76125.600000000006</v>
      </c>
      <c r="R173" s="39">
        <f>Q173/Summary!$Q$16</f>
        <v>9.5574857098227727E-4</v>
      </c>
      <c r="S173" s="39"/>
      <c r="T173" s="35"/>
      <c r="U173" s="40" t="e">
        <f t="shared" ref="U173:U181" si="18">-IF(Q173-T173=0,0,(Q173-T173)/T173)</f>
        <v>#DIV/0!</v>
      </c>
    </row>
    <row r="174" spans="1:27" s="3" customFormat="1" ht="25.4" customHeight="1">
      <c r="A174" s="254" t="s">
        <v>610</v>
      </c>
      <c r="B174" s="3" t="s">
        <v>1034</v>
      </c>
      <c r="D174" s="26" t="s">
        <v>322</v>
      </c>
      <c r="E174" s="27">
        <v>2472</v>
      </c>
      <c r="F174" s="27">
        <v>2472</v>
      </c>
      <c r="G174" s="27">
        <v>2472</v>
      </c>
      <c r="H174" s="27">
        <v>2472</v>
      </c>
      <c r="I174" s="27">
        <v>2472</v>
      </c>
      <c r="J174" s="27">
        <v>2472</v>
      </c>
      <c r="K174" s="27">
        <v>2472</v>
      </c>
      <c r="L174" s="27">
        <v>2472</v>
      </c>
      <c r="M174" s="27">
        <v>2472</v>
      </c>
      <c r="N174" s="27">
        <v>2472</v>
      </c>
      <c r="O174" s="27">
        <v>2472</v>
      </c>
      <c r="P174" s="27">
        <v>2472</v>
      </c>
      <c r="Q174" s="41">
        <f t="shared" ref="Q174:Q180" si="19">SUM(E174:P174)</f>
        <v>29664</v>
      </c>
      <c r="R174" s="39">
        <f>Q174/Summary!$Q$16</f>
        <v>3.7242827129925114E-4</v>
      </c>
      <c r="S174" s="39"/>
      <c r="T174" s="35"/>
      <c r="U174" s="40" t="e">
        <f t="shared" si="18"/>
        <v>#DIV/0!</v>
      </c>
    </row>
    <row r="175" spans="1:27" s="3" customFormat="1" ht="25.4" customHeight="1">
      <c r="A175" s="254" t="s">
        <v>611</v>
      </c>
      <c r="B175" s="3" t="s">
        <v>1034</v>
      </c>
      <c r="D175" s="26" t="s">
        <v>324</v>
      </c>
      <c r="E175" s="27">
        <v>329.59999999999997</v>
      </c>
      <c r="F175" s="27">
        <v>329.6</v>
      </c>
      <c r="G175" s="27">
        <v>329.6</v>
      </c>
      <c r="H175" s="27">
        <v>329.6</v>
      </c>
      <c r="I175" s="27">
        <v>329.6</v>
      </c>
      <c r="J175" s="27">
        <v>329.6</v>
      </c>
      <c r="K175" s="27">
        <v>329.6</v>
      </c>
      <c r="L175" s="27">
        <v>329.6</v>
      </c>
      <c r="M175" s="27">
        <v>329.6</v>
      </c>
      <c r="N175" s="27">
        <v>329.6</v>
      </c>
      <c r="O175" s="27">
        <v>329.6</v>
      </c>
      <c r="P175" s="27">
        <v>329.6</v>
      </c>
      <c r="Q175" s="41">
        <f t="shared" si="19"/>
        <v>3955.1999999999994</v>
      </c>
      <c r="R175" s="39">
        <f>Q175/Summary!$Q$16</f>
        <v>4.9657102839900138E-5</v>
      </c>
      <c r="S175" s="39"/>
      <c r="T175" s="35"/>
      <c r="U175" s="40" t="e">
        <f t="shared" si="18"/>
        <v>#DIV/0!</v>
      </c>
    </row>
    <row r="176" spans="1:27" s="3" customFormat="1" ht="25.4" customHeight="1">
      <c r="A176" s="254" t="s">
        <v>612</v>
      </c>
      <c r="B176" s="3" t="s">
        <v>1034</v>
      </c>
      <c r="D176" s="26" t="s">
        <v>326</v>
      </c>
      <c r="E176" s="27">
        <v>164.79999999999998</v>
      </c>
      <c r="F176" s="27">
        <v>164.8</v>
      </c>
      <c r="G176" s="27">
        <v>164.8</v>
      </c>
      <c r="H176" s="27">
        <v>164.8</v>
      </c>
      <c r="I176" s="27">
        <v>164.8</v>
      </c>
      <c r="J176" s="27">
        <v>164.8</v>
      </c>
      <c r="K176" s="27">
        <v>164.8</v>
      </c>
      <c r="L176" s="27">
        <v>164.8</v>
      </c>
      <c r="M176" s="27">
        <v>164.8</v>
      </c>
      <c r="N176" s="27">
        <v>164.8</v>
      </c>
      <c r="O176" s="27">
        <v>164.8</v>
      </c>
      <c r="P176" s="27">
        <v>164.8</v>
      </c>
      <c r="Q176" s="41">
        <f t="shared" si="19"/>
        <v>1977.5999999999997</v>
      </c>
      <c r="R176" s="39">
        <f>Q176/Summary!$Q$16</f>
        <v>2.4828551419950069E-5</v>
      </c>
      <c r="S176" s="39"/>
      <c r="T176" s="35"/>
      <c r="U176" s="40" t="e">
        <f t="shared" si="18"/>
        <v>#DIV/0!</v>
      </c>
    </row>
    <row r="177" spans="1:24" s="3" customFormat="1" ht="25.4" customHeight="1">
      <c r="A177" s="254" t="s">
        <v>613</v>
      </c>
      <c r="B177" s="3" t="s">
        <v>1034</v>
      </c>
      <c r="D177" s="26" t="s">
        <v>328</v>
      </c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41">
        <f t="shared" si="19"/>
        <v>0</v>
      </c>
      <c r="R177" s="39">
        <f>Q177/Summary!$Q$16</f>
        <v>0</v>
      </c>
      <c r="S177" s="39"/>
      <c r="T177" s="35"/>
      <c r="U177" s="40">
        <f t="shared" si="18"/>
        <v>0</v>
      </c>
    </row>
    <row r="178" spans="1:24" s="3" customFormat="1" ht="25.4" customHeight="1">
      <c r="A178" s="254" t="s">
        <v>614</v>
      </c>
      <c r="B178" s="3" t="s">
        <v>1034</v>
      </c>
      <c r="D178" s="26" t="s">
        <v>330</v>
      </c>
      <c r="E178" s="27">
        <v>3296</v>
      </c>
      <c r="F178" s="27">
        <v>3296</v>
      </c>
      <c r="G178" s="27">
        <v>3296</v>
      </c>
      <c r="H178" s="27">
        <v>3296</v>
      </c>
      <c r="I178" s="27">
        <v>3296</v>
      </c>
      <c r="J178" s="27">
        <v>3296</v>
      </c>
      <c r="K178" s="27">
        <v>3296</v>
      </c>
      <c r="L178" s="27">
        <v>3296</v>
      </c>
      <c r="M178" s="27">
        <v>3296</v>
      </c>
      <c r="N178" s="27">
        <v>3296</v>
      </c>
      <c r="O178" s="27">
        <v>3296</v>
      </c>
      <c r="P178" s="27">
        <v>3296</v>
      </c>
      <c r="Q178" s="41">
        <f t="shared" si="19"/>
        <v>39552</v>
      </c>
      <c r="R178" s="39">
        <f>Q178/Summary!$Q$16</f>
        <v>4.9657102839900148E-4</v>
      </c>
      <c r="S178" s="39"/>
      <c r="T178" s="35"/>
      <c r="U178" s="40" t="e">
        <f t="shared" si="18"/>
        <v>#DIV/0!</v>
      </c>
    </row>
    <row r="179" spans="1:24" s="3" customFormat="1" ht="25.4" customHeight="1">
      <c r="A179" s="254" t="s">
        <v>615</v>
      </c>
      <c r="B179" s="3" t="s">
        <v>1034</v>
      </c>
      <c r="D179" s="26" t="s">
        <v>332</v>
      </c>
      <c r="E179" s="27">
        <v>824</v>
      </c>
      <c r="F179" s="27">
        <v>824</v>
      </c>
      <c r="G179" s="27">
        <v>824</v>
      </c>
      <c r="H179" s="27">
        <v>824</v>
      </c>
      <c r="I179" s="27">
        <v>824</v>
      </c>
      <c r="J179" s="27">
        <v>824</v>
      </c>
      <c r="K179" s="27">
        <v>824</v>
      </c>
      <c r="L179" s="27">
        <v>824</v>
      </c>
      <c r="M179" s="27">
        <v>824</v>
      </c>
      <c r="N179" s="27">
        <v>824</v>
      </c>
      <c r="O179" s="27">
        <v>824</v>
      </c>
      <c r="P179" s="27">
        <v>824</v>
      </c>
      <c r="Q179" s="41">
        <f t="shared" si="19"/>
        <v>9888</v>
      </c>
      <c r="R179" s="39">
        <f>Q179/Summary!$Q$16</f>
        <v>1.2414275709975037E-4</v>
      </c>
      <c r="S179" s="39"/>
      <c r="T179" s="35"/>
      <c r="U179" s="40" t="e">
        <f t="shared" si="18"/>
        <v>#DIV/0!</v>
      </c>
    </row>
    <row r="180" spans="1:24" s="3" customFormat="1" ht="25.4" customHeight="1">
      <c r="A180" s="254" t="s">
        <v>616</v>
      </c>
      <c r="B180" s="3" t="s">
        <v>1034</v>
      </c>
      <c r="D180" s="26" t="s">
        <v>334</v>
      </c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41">
        <f t="shared" si="19"/>
        <v>0</v>
      </c>
      <c r="R180" s="39">
        <f>Q180/Summary!$Q$16</f>
        <v>0</v>
      </c>
      <c r="S180" s="39"/>
      <c r="T180" s="35"/>
      <c r="U180" s="40">
        <f t="shared" si="18"/>
        <v>0</v>
      </c>
    </row>
    <row r="181" spans="1:24" s="19" customFormat="1" ht="25.4" customHeight="1">
      <c r="A181" s="54"/>
      <c r="B181" s="51"/>
      <c r="D181" s="19" t="s">
        <v>335</v>
      </c>
      <c r="E181" s="45">
        <f>SUM(E173:E180)</f>
        <v>13430.199999999999</v>
      </c>
      <c r="F181" s="45">
        <f t="shared" ref="F181:P181" si="20">SUM(F173:F180)</f>
        <v>13430.199999999999</v>
      </c>
      <c r="G181" s="45">
        <f t="shared" si="20"/>
        <v>13430.199999999999</v>
      </c>
      <c r="H181" s="45">
        <f t="shared" si="20"/>
        <v>13430.199999999999</v>
      </c>
      <c r="I181" s="45">
        <f t="shared" si="20"/>
        <v>13430.199999999999</v>
      </c>
      <c r="J181" s="45">
        <f t="shared" si="20"/>
        <v>13430.199999999999</v>
      </c>
      <c r="K181" s="45">
        <f t="shared" si="20"/>
        <v>13430.199999999999</v>
      </c>
      <c r="L181" s="45">
        <f t="shared" si="20"/>
        <v>13430.199999999999</v>
      </c>
      <c r="M181" s="45">
        <f t="shared" si="20"/>
        <v>13430.199999999999</v>
      </c>
      <c r="N181" s="45">
        <f t="shared" si="20"/>
        <v>13430.199999999999</v>
      </c>
      <c r="O181" s="45">
        <f t="shared" si="20"/>
        <v>13430.199999999999</v>
      </c>
      <c r="P181" s="45">
        <f t="shared" si="20"/>
        <v>13430.199999999999</v>
      </c>
      <c r="Q181" s="45">
        <f t="shared" ref="Q181" si="21">SUM(Q173:Q180)</f>
        <v>161162.40000000002</v>
      </c>
      <c r="R181" s="39">
        <f>Q181/Summary!$Q$16</f>
        <v>2.0233762820401307E-3</v>
      </c>
      <c r="S181" s="39"/>
      <c r="T181" s="35"/>
      <c r="U181" s="40" t="e">
        <f t="shared" si="18"/>
        <v>#DIV/0!</v>
      </c>
    </row>
    <row r="182" spans="1:24" s="19" customFormat="1" ht="25.4" customHeight="1">
      <c r="A182" s="54"/>
      <c r="B182" s="51"/>
      <c r="D182" s="21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T182" s="35"/>
      <c r="U182" s="40"/>
    </row>
    <row r="183" spans="1:24" s="3" customFormat="1" ht="25.4" customHeight="1">
      <c r="A183" s="254" t="s">
        <v>617</v>
      </c>
      <c r="B183" s="3" t="s">
        <v>1034</v>
      </c>
      <c r="D183" s="26" t="s">
        <v>337</v>
      </c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41">
        <f>SUM(E183:P183)</f>
        <v>0</v>
      </c>
      <c r="T183" s="35"/>
      <c r="U183" s="40">
        <f t="shared" ref="U183:U191" si="22">-IF(Q183-T183=0,0,(Q183-T183)/T183)</f>
        <v>0</v>
      </c>
    </row>
    <row r="184" spans="1:24" s="3" customFormat="1" ht="25.4" customHeight="1">
      <c r="A184" s="254" t="s">
        <v>618</v>
      </c>
      <c r="B184" s="3" t="s">
        <v>1034</v>
      </c>
      <c r="D184" s="3" t="s">
        <v>339</v>
      </c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41">
        <f t="shared" ref="Q184:Q189" si="23">SUM(E184:P184)</f>
        <v>0</v>
      </c>
      <c r="T184" s="35"/>
      <c r="U184" s="40">
        <f t="shared" si="22"/>
        <v>0</v>
      </c>
    </row>
    <row r="185" spans="1:24" s="3" customFormat="1" ht="25.4" customHeight="1">
      <c r="A185" s="254" t="s">
        <v>619</v>
      </c>
      <c r="B185" s="3" t="s">
        <v>1034</v>
      </c>
      <c r="D185" s="26" t="s">
        <v>341</v>
      </c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41">
        <f t="shared" si="23"/>
        <v>0</v>
      </c>
      <c r="T185" s="35"/>
      <c r="U185" s="40">
        <f t="shared" si="22"/>
        <v>0</v>
      </c>
    </row>
    <row r="186" spans="1:24" s="3" customFormat="1" ht="25.4" customHeight="1">
      <c r="A186" s="254" t="s">
        <v>620</v>
      </c>
      <c r="B186" s="3" t="s">
        <v>1034</v>
      </c>
      <c r="D186" s="26" t="s">
        <v>343</v>
      </c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41">
        <f t="shared" si="23"/>
        <v>0</v>
      </c>
      <c r="T186" s="35"/>
      <c r="U186" s="40">
        <f t="shared" si="22"/>
        <v>0</v>
      </c>
    </row>
    <row r="187" spans="1:24" s="3" customFormat="1" ht="25.4" customHeight="1">
      <c r="A187" s="254" t="s">
        <v>621</v>
      </c>
      <c r="B187" s="3" t="s">
        <v>1034</v>
      </c>
      <c r="D187" s="26" t="s">
        <v>345</v>
      </c>
      <c r="E187" s="27">
        <v>420</v>
      </c>
      <c r="F187" s="27">
        <v>560</v>
      </c>
      <c r="G187" s="27">
        <v>420</v>
      </c>
      <c r="H187" s="27">
        <v>420</v>
      </c>
      <c r="I187" s="27">
        <v>420</v>
      </c>
      <c r="J187" s="27">
        <v>420</v>
      </c>
      <c r="K187" s="27">
        <v>420</v>
      </c>
      <c r="L187" s="27">
        <v>420</v>
      </c>
      <c r="M187" s="27">
        <v>420</v>
      </c>
      <c r="N187" s="27">
        <v>420</v>
      </c>
      <c r="O187" s="27">
        <v>420</v>
      </c>
      <c r="P187" s="27">
        <v>420</v>
      </c>
      <c r="Q187" s="41">
        <f t="shared" si="23"/>
        <v>5180</v>
      </c>
      <c r="R187" s="39">
        <f>Q187/Summary!$Q$16</f>
        <v>6.503433270395499E-5</v>
      </c>
      <c r="S187" s="39"/>
      <c r="T187" s="35"/>
      <c r="U187" s="40" t="e">
        <f t="shared" si="22"/>
        <v>#DIV/0!</v>
      </c>
    </row>
    <row r="188" spans="1:24" s="3" customFormat="1" ht="25.4" customHeight="1">
      <c r="A188" s="254" t="s">
        <v>346</v>
      </c>
      <c r="B188" s="3" t="s">
        <v>1034</v>
      </c>
      <c r="D188" s="26" t="s">
        <v>347</v>
      </c>
      <c r="E188" s="27">
        <v>2490.11</v>
      </c>
      <c r="F188" s="27">
        <v>2480.31</v>
      </c>
      <c r="G188" s="27">
        <v>2470.58</v>
      </c>
      <c r="H188" s="27">
        <v>2460.92</v>
      </c>
      <c r="I188" s="27">
        <v>2395.4699999999998</v>
      </c>
      <c r="J188" s="27">
        <v>2359.56</v>
      </c>
      <c r="K188" s="27">
        <v>2316.1600000000003</v>
      </c>
      <c r="L188" s="27">
        <v>2316.1600000000003</v>
      </c>
      <c r="M188" s="27">
        <v>2299.29</v>
      </c>
      <c r="N188" s="27">
        <v>2282.6299999999997</v>
      </c>
      <c r="O188" s="27">
        <v>2274.3700000000003</v>
      </c>
      <c r="P188" s="27">
        <v>2266.1800000000003</v>
      </c>
      <c r="Q188" s="41">
        <f t="shared" si="23"/>
        <v>28411.74</v>
      </c>
      <c r="R188" s="39">
        <f>Q188/Summary!$Q$16</f>
        <v>3.5670628414252243E-4</v>
      </c>
      <c r="S188" s="39"/>
      <c r="T188" s="35"/>
      <c r="U188" s="40" t="e">
        <f t="shared" si="22"/>
        <v>#DIV/0!</v>
      </c>
    </row>
    <row r="189" spans="1:24" s="3" customFormat="1" ht="25.4" customHeight="1">
      <c r="A189" s="3" t="s">
        <v>348</v>
      </c>
      <c r="B189" s="3" t="s">
        <v>1034</v>
      </c>
      <c r="D189" s="26" t="s">
        <v>349</v>
      </c>
      <c r="E189" s="27">
        <v>6881.2099999999991</v>
      </c>
      <c r="F189" s="27">
        <v>6762.98</v>
      </c>
      <c r="G189" s="27">
        <v>6684.1599999999989</v>
      </c>
      <c r="H189" s="27">
        <v>6719.02</v>
      </c>
      <c r="I189" s="27">
        <v>6602.9599999999991</v>
      </c>
      <c r="J189" s="27">
        <v>6490.47</v>
      </c>
      <c r="K189" s="27">
        <v>6448.4</v>
      </c>
      <c r="L189" s="27">
        <v>6458.9</v>
      </c>
      <c r="M189" s="27">
        <v>6477.3100000000013</v>
      </c>
      <c r="N189" s="27">
        <v>6539.4699999999984</v>
      </c>
      <c r="O189" s="27">
        <v>6457.15</v>
      </c>
      <c r="P189" s="27">
        <v>6440.07</v>
      </c>
      <c r="Q189" s="41">
        <f t="shared" si="23"/>
        <v>78962.100000000006</v>
      </c>
      <c r="R189" s="39">
        <f>Q189/Summary!$Q$16</f>
        <v>9.9136051783841011E-4</v>
      </c>
      <c r="S189" s="39"/>
      <c r="T189" s="35"/>
      <c r="U189" s="40" t="e">
        <f t="shared" si="22"/>
        <v>#DIV/0!</v>
      </c>
      <c r="X189" s="343"/>
    </row>
    <row r="190" spans="1:24" s="3" customFormat="1" ht="25.4" customHeight="1">
      <c r="A190" s="54"/>
      <c r="B190" s="51"/>
      <c r="D190" s="19" t="s">
        <v>350</v>
      </c>
      <c r="E190" s="52">
        <f>SUM(E183:E189)</f>
        <v>9791.32</v>
      </c>
      <c r="F190" s="52">
        <f t="shared" ref="F190:P190" si="24">SUM(F183:F189)</f>
        <v>9803.2899999999991</v>
      </c>
      <c r="G190" s="52">
        <f t="shared" si="24"/>
        <v>9574.739999999998</v>
      </c>
      <c r="H190" s="52">
        <f t="shared" si="24"/>
        <v>9599.94</v>
      </c>
      <c r="I190" s="52">
        <f t="shared" si="24"/>
        <v>9418.4299999999985</v>
      </c>
      <c r="J190" s="52">
        <f t="shared" si="24"/>
        <v>9270.0300000000007</v>
      </c>
      <c r="K190" s="52">
        <f t="shared" si="24"/>
        <v>9184.56</v>
      </c>
      <c r="L190" s="52">
        <f t="shared" si="24"/>
        <v>9195.06</v>
      </c>
      <c r="M190" s="52">
        <f t="shared" si="24"/>
        <v>9196.6000000000022</v>
      </c>
      <c r="N190" s="52">
        <f t="shared" si="24"/>
        <v>9242.0999999999985</v>
      </c>
      <c r="O190" s="52">
        <f t="shared" si="24"/>
        <v>9151.52</v>
      </c>
      <c r="P190" s="52">
        <f t="shared" si="24"/>
        <v>9126.25</v>
      </c>
      <c r="Q190" s="52">
        <f t="shared" ref="Q190" si="25">SUM(Q183:Q189)</f>
        <v>112553.84000000001</v>
      </c>
      <c r="R190" s="39">
        <f>Q190/Summary!$Q$16</f>
        <v>1.4131011346848877E-3</v>
      </c>
      <c r="S190" s="39"/>
      <c r="T190" s="35"/>
      <c r="U190" s="40" t="e">
        <f t="shared" si="22"/>
        <v>#DIV/0!</v>
      </c>
    </row>
    <row r="191" spans="1:24" s="3" customFormat="1" ht="25.4" customHeight="1">
      <c r="A191" s="54"/>
      <c r="B191" s="51"/>
      <c r="D191" s="19" t="s">
        <v>351</v>
      </c>
      <c r="E191" s="52">
        <f>E164+E171+E181+E190</f>
        <v>92175.26999999999</v>
      </c>
      <c r="F191" s="52">
        <f t="shared" ref="F191:P191" si="26">F164+F171+F181+F190</f>
        <v>83446.899999999994</v>
      </c>
      <c r="G191" s="52">
        <f t="shared" si="26"/>
        <v>83184.570000000007</v>
      </c>
      <c r="H191" s="52">
        <f t="shared" si="26"/>
        <v>85831.6</v>
      </c>
      <c r="I191" s="52">
        <f t="shared" si="26"/>
        <v>86786.569999999992</v>
      </c>
      <c r="J191" s="52">
        <f t="shared" si="26"/>
        <v>82796.849999999991</v>
      </c>
      <c r="K191" s="52">
        <f t="shared" si="26"/>
        <v>82693.36</v>
      </c>
      <c r="L191" s="52">
        <f t="shared" si="26"/>
        <v>82708.37</v>
      </c>
      <c r="M191" s="52">
        <f t="shared" si="26"/>
        <v>82717.78</v>
      </c>
      <c r="N191" s="52">
        <f t="shared" si="26"/>
        <v>89824.41</v>
      </c>
      <c r="O191" s="52">
        <f t="shared" si="26"/>
        <v>82664.06</v>
      </c>
      <c r="P191" s="52">
        <f t="shared" si="26"/>
        <v>82631.48</v>
      </c>
      <c r="Q191" s="379">
        <f t="shared" ref="Q191" si="27">Q164+Q171+Q181+Q190</f>
        <v>1017461.22</v>
      </c>
      <c r="R191" s="39">
        <f>Q191/Summary!$Q$16</f>
        <v>1.2774114188195355E-2</v>
      </c>
      <c r="S191" s="39"/>
      <c r="T191" s="35"/>
      <c r="U191" s="40" t="e">
        <f t="shared" si="22"/>
        <v>#DIV/0!</v>
      </c>
    </row>
    <row r="192" spans="1:24" s="3" customFormat="1" ht="25.4" customHeight="1">
      <c r="A192" s="54"/>
      <c r="B192" s="51"/>
      <c r="D192" s="21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T192" s="35"/>
      <c r="U192" s="40"/>
    </row>
    <row r="193" spans="1:21" s="19" customFormat="1" ht="25.4" customHeight="1">
      <c r="A193" s="3" t="s">
        <v>108</v>
      </c>
      <c r="B193" s="3" t="s">
        <v>1034</v>
      </c>
      <c r="D193" s="19" t="s">
        <v>354</v>
      </c>
      <c r="E193" s="43">
        <v>10</v>
      </c>
      <c r="F193" s="43">
        <v>10</v>
      </c>
      <c r="G193" s="43">
        <v>10</v>
      </c>
      <c r="H193" s="43">
        <v>10</v>
      </c>
      <c r="I193" s="43">
        <v>10</v>
      </c>
      <c r="J193" s="43">
        <v>10</v>
      </c>
      <c r="K193" s="43">
        <v>10</v>
      </c>
      <c r="L193" s="43">
        <v>10</v>
      </c>
      <c r="M193" s="43">
        <v>10</v>
      </c>
      <c r="N193" s="43">
        <v>10</v>
      </c>
      <c r="O193" s="43">
        <v>10</v>
      </c>
      <c r="P193" s="43">
        <v>10</v>
      </c>
      <c r="Q193" s="60">
        <f>SUM(E193:P193)/12</f>
        <v>10</v>
      </c>
      <c r="T193" s="35"/>
      <c r="U193" s="40" t="e">
        <f>-IF(Q193-T193=0,0,(Q193-T193)/T193)</f>
        <v>#DIV/0!</v>
      </c>
    </row>
    <row r="194" spans="1:21" s="19" customFormat="1" ht="25.4" customHeight="1">
      <c r="A194" s="3"/>
      <c r="B194" s="3"/>
      <c r="D194" s="19" t="s">
        <v>1215</v>
      </c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60">
        <f>SUM(E194:P194)/12</f>
        <v>0</v>
      </c>
      <c r="T194" s="35"/>
      <c r="U194" s="40"/>
    </row>
    <row r="195" spans="1:21" ht="26.25" customHeight="1">
      <c r="R195" s="3"/>
    </row>
    <row r="197" spans="1:21" ht="26.25" customHeight="1">
      <c r="P197" s="231" t="s">
        <v>1060</v>
      </c>
      <c r="Q197" s="232">
        <f>+Q164+Q171</f>
        <v>743744.98</v>
      </c>
    </row>
    <row r="198" spans="1:21" ht="26.25" customHeight="1">
      <c r="P198" s="231" t="s">
        <v>788</v>
      </c>
      <c r="Q198" s="232">
        <f>+Q181+Q190</f>
        <v>273716.24000000005</v>
      </c>
    </row>
    <row r="199" spans="1:21" ht="26.25" customHeight="1">
      <c r="P199" s="7"/>
      <c r="Q199" s="5">
        <f>+Q197+Q198-Q191</f>
        <v>0</v>
      </c>
    </row>
  </sheetData>
  <phoneticPr fontId="56" type="noConversion"/>
  <dataValidations count="24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6=141593.74_x000d__x000a_" sqref="E64:P64">
      <formula1>0</formula1>
      <formula2>300</formula2>
    </dataValidation>
    <dataValidation type="textLength" errorStyle="information" allowBlank="1" showInputMessage="1" showErrorMessage="1" error="XLBVal:6=170458.81_x000d__x000a_" sqref="E12:P12">
      <formula1>0</formula1>
      <formula2>300</formula2>
    </dataValidation>
    <dataValidation type="textLength" errorStyle="information" allowBlank="1" showInputMessage="1" showErrorMessage="1" error="XLBVal:6=6966993_x000d__x000a_" sqref="Q12">
      <formula1>0</formula1>
      <formula2>300</formula2>
    </dataValidation>
    <dataValidation type="textLength" errorStyle="information" allowBlank="1" showInputMessage="1" showErrorMessage="1" error="XLBVal:6=4_x000d__x000a_" sqref="E193:P193">
      <formula1>0</formula1>
      <formula2>300</formula2>
    </dataValidation>
    <dataValidation type="textLength" errorStyle="information" allowBlank="1" showInputMessage="1" showErrorMessage="1" error="XLBVal:6=25920_x000d__x000a_" sqref="E23:P23">
      <formula1>0</formula1>
      <formula2>300</formula2>
    </dataValidation>
    <dataValidation type="textLength" errorStyle="information" allowBlank="1" showInputMessage="1" showErrorMessage="1" error="XLBVal:6=107.73_x000d__x000a_" sqref="E41:P41">
      <formula1>0</formula1>
      <formula2>300</formula2>
    </dataValidation>
    <dataValidation type="textLength" errorStyle="information" allowBlank="1" showInputMessage="1" showErrorMessage="1" error="XLBVal:6=4613.22_x000d__x000a_" sqref="E35:P35">
      <formula1>0</formula1>
      <formula2>300</formula2>
    </dataValidation>
    <dataValidation type="textLength" errorStyle="information" allowBlank="1" showInputMessage="1" showErrorMessage="1" error="XLBVal:6=6689_x000d__x000a_" sqref="E156:P156">
      <formula1>0</formula1>
      <formula2>300</formula2>
    </dataValidation>
    <dataValidation type="textLength" errorStyle="information" allowBlank="1" showInputMessage="1" showErrorMessage="1" error="XLBVal:6=0_x000d__x000a_" sqref="E157:Q157">
      <formula1>0</formula1>
      <formula2>300</formula2>
    </dataValidation>
    <dataValidation type="textLength" errorStyle="information" allowBlank="1" showInputMessage="1" showErrorMessage="1" error="XLBVal:6=-210957.2_x000d__x000a_" sqref="E158:P158">
      <formula1>0</formula1>
      <formula2>300</formula2>
    </dataValidation>
    <dataValidation type="textLength" errorStyle="information" allowBlank="1" showInputMessage="1" showErrorMessage="1" error="XLBVal:2=0_x000d__x000a_" sqref="Q158 E15:E22 F13:F22 Q15:Q156 Q183:Q189 E166:P170 E65:P155 G15:P22 E24:P34 E183:P186 E179:P180 E36:P40 E162:Q163 E42:P63">
      <formula1>0</formula1>
      <formula2>300</formula2>
    </dataValidation>
    <dataValidation type="textLength" errorStyle="information" allowBlank="1" showInputMessage="1" showErrorMessage="1" sqref="F159:Q159 Q190:Q191 E159:E161 E190:P192 F160:I161">
      <formula1>0</formula1>
      <formula2>300</formula2>
    </dataValidation>
    <dataValidation type="textLength" errorStyle="information" allowBlank="1" showInputMessage="1" showErrorMessage="1" error="XLBVal:6=360_x000d__x000a_" sqref="Q193:Q194">
      <formula1>0</formula1>
      <formula2>300</formula2>
    </dataValidation>
    <dataValidation type="textLength" errorStyle="information" allowBlank="1" showInputMessage="1" showErrorMessage="1" error="XLBVal:6=6688509.16_x000d__x000a_" sqref="E13:E14">
      <formula1>0</formula1>
      <formula2>300</formula2>
    </dataValidation>
    <dataValidation type="textLength" errorStyle="information" allowBlank="1" showInputMessage="1" showErrorMessage="1" error="XLBVal:6=6595485.04_x000d__x000a_" sqref="G13:G14">
      <formula1>0</formula1>
      <formula2>300</formula2>
    </dataValidation>
    <dataValidation type="textLength" errorStyle="information" allowBlank="1" showInputMessage="1" showErrorMessage="1" error="XLBVal:5=-2586288.67_x000d__x000a_" sqref="H13:H14">
      <formula1>0</formula1>
      <formula2>300</formula2>
    </dataValidation>
    <dataValidation type="textLength" errorStyle="information" allowBlank="1" showInputMessage="1" showErrorMessage="1" error="XLBVal:5=15426.66_x000d__x000a_" sqref="I13:I14">
      <formula1>0</formula1>
      <formula2>300</formula2>
    </dataValidation>
    <dataValidation type="textLength" errorStyle="information" allowBlank="1" showInputMessage="1" showErrorMessage="1" error="XLBVal:6=13928_x000d__x000a_" sqref="Q166:Q170">
      <formula1>0</formula1>
      <formula2>300</formula2>
    </dataValidation>
    <dataValidation type="textLength" errorStyle="information" allowBlank="1" showInputMessage="1" showErrorMessage="1" error="XLBVal:6=550248_x000d__x000a_" sqref="Q173:Q180">
      <formula1>0</formula1>
      <formula2>300</formula2>
    </dataValidation>
    <dataValidation type="textLength" errorStyle="information" allowBlank="1" showInputMessage="1" showErrorMessage="1" error="XLBVal:6=229.28_x000d__x000a_" sqref="E187:P189">
      <formula1>0</formula1>
      <formula2>300</formula2>
    </dataValidation>
    <dataValidation type="textLength" errorStyle="information" allowBlank="1" showInputMessage="1" showErrorMessage="1" error="XLBVal:6=3693.18_x000d__x000a_" sqref="E173:P178">
      <formula1>0</formula1>
      <formula2>300</formula2>
    </dataValidation>
    <dataValidation type="textLength" errorStyle="information" allowBlank="1" showInputMessage="1" showErrorMessage="1" error="XLBVal:6=3678_x000d__x000a_" sqref="E181:Q182">
      <formula1>0</formula1>
      <formula2>300</formula2>
    </dataValidation>
    <dataValidation type="textLength" errorStyle="information" allowBlank="1" showInputMessage="1" showErrorMessage="1" error="XLBVal:6=467_x000d__x000a_" sqref="P197:P198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0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AA80"/>
  <sheetViews>
    <sheetView zoomScale="50" zoomScaleNormal="50" zoomScaleSheetLayoutView="55" workbookViewId="0">
      <pane xSplit="4" topLeftCell="E1" activePane="topRight" state="frozen"/>
      <selection activeCell="D9" sqref="D9"/>
      <selection pane="topRight" activeCell="K35" sqref="K35"/>
    </sheetView>
  </sheetViews>
  <sheetFormatPr defaultColWidth="8.90625" defaultRowHeight="26.25" customHeight="1" outlineLevelRow="1" outlineLevelCol="1"/>
  <cols>
    <col min="1" max="3" width="15.453125" style="5" hidden="1" customWidth="1" outlineLevel="1"/>
    <col min="4" max="4" width="83.453125" style="6" customWidth="1" collapsed="1"/>
    <col min="5" max="9" width="25.453125" style="7" customWidth="1"/>
    <col min="10" max="17" width="25.453125" style="5" customWidth="1"/>
    <col min="18" max="18" width="12" style="5" customWidth="1"/>
    <col min="19" max="19" width="8.90625" style="5"/>
    <col min="20" max="20" width="22.453125" style="8" hidden="1" customWidth="1"/>
    <col min="21" max="21" width="22.453125" style="5" hidden="1" customWidth="1"/>
    <col min="22" max="22" width="21" style="26" customWidth="1"/>
    <col min="23" max="23" width="11.6328125" style="342" customWidth="1"/>
    <col min="24" max="24" width="9.90625" style="5" customWidth="1"/>
    <col min="25" max="25" width="36.08984375" style="3" customWidth="1"/>
    <col min="26" max="26" width="16.453125" style="5" bestFit="1" customWidth="1"/>
    <col min="27" max="16384" width="8.90625" style="5"/>
  </cols>
  <sheetData>
    <row r="1" spans="1:27" s="1" customFormat="1" ht="15" customHeight="1" outlineLevel="1"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T1" s="32"/>
      <c r="V1" s="340"/>
      <c r="W1" s="341"/>
      <c r="Y1" s="288"/>
    </row>
    <row r="2" spans="1:27" s="1" customFormat="1" ht="15" customHeight="1" outlineLevel="1"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32"/>
      <c r="V2" s="340"/>
      <c r="W2" s="341"/>
      <c r="Y2" s="288"/>
    </row>
    <row r="3" spans="1:27" s="1" customFormat="1" ht="15" customHeight="1" outlineLevel="1"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T3" s="32"/>
      <c r="V3" s="340"/>
      <c r="W3" s="341"/>
      <c r="Y3" s="288"/>
    </row>
    <row r="4" spans="1:27" s="2" customFormat="1" ht="25.4" customHeight="1">
      <c r="D4" s="10" t="str">
        <f>Summary!$D$4</f>
        <v>Hotel Budget Report</v>
      </c>
      <c r="E4" s="11"/>
      <c r="F4" s="11"/>
      <c r="G4" s="12"/>
      <c r="H4" s="13"/>
      <c r="I4" s="13"/>
      <c r="T4" s="33"/>
      <c r="V4" s="26"/>
      <c r="W4" s="342"/>
      <c r="Y4" s="3"/>
    </row>
    <row r="5" spans="1:27" s="2" customFormat="1" ht="25.4" customHeight="1">
      <c r="D5" s="10" t="str">
        <f>Summary!$D$5</f>
        <v>酒店预算报表</v>
      </c>
      <c r="E5" s="11"/>
      <c r="F5" s="11"/>
      <c r="G5" s="12"/>
      <c r="H5" s="13"/>
      <c r="I5" s="13"/>
      <c r="T5" s="33"/>
      <c r="V5" s="26"/>
      <c r="W5" s="342"/>
      <c r="Y5" s="3"/>
    </row>
    <row r="6" spans="1:27" s="2" customFormat="1" ht="25.4" customHeight="1">
      <c r="D6" s="14" t="s">
        <v>1036</v>
      </c>
      <c r="E6" s="13"/>
      <c r="F6" s="13"/>
      <c r="G6" s="13"/>
      <c r="H6" s="13"/>
      <c r="I6" s="13"/>
      <c r="T6" s="33"/>
      <c r="V6" s="26"/>
      <c r="W6" s="342"/>
      <c r="Y6" s="3"/>
    </row>
    <row r="7" spans="1:27" s="2" customFormat="1" ht="25.4" customHeight="1">
      <c r="D7" s="199">
        <f>Parameter!H4</f>
        <v>2025</v>
      </c>
      <c r="E7" s="13"/>
      <c r="F7" s="13"/>
      <c r="G7" s="13"/>
      <c r="H7" s="13"/>
      <c r="I7" s="13"/>
      <c r="T7" s="33"/>
      <c r="V7" s="26"/>
      <c r="W7" s="342"/>
      <c r="Y7" s="3"/>
    </row>
    <row r="8" spans="1:27" ht="25.4" customHeight="1">
      <c r="D8" s="16"/>
      <c r="X8" s="58"/>
      <c r="Y8" s="26"/>
      <c r="Z8" s="58"/>
      <c r="AA8" s="58"/>
    </row>
    <row r="9" spans="1:27" s="3" customFormat="1" ht="25.4" customHeight="1">
      <c r="D9" s="17"/>
      <c r="E9" s="18">
        <v>1</v>
      </c>
      <c r="F9" s="18">
        <v>2</v>
      </c>
      <c r="G9" s="18">
        <v>3</v>
      </c>
      <c r="H9" s="18">
        <v>4</v>
      </c>
      <c r="I9" s="18">
        <v>5</v>
      </c>
      <c r="J9" s="18">
        <v>6</v>
      </c>
      <c r="K9" s="18">
        <v>7</v>
      </c>
      <c r="L9" s="18">
        <v>8</v>
      </c>
      <c r="M9" s="18">
        <v>9</v>
      </c>
      <c r="N9" s="18">
        <v>10</v>
      </c>
      <c r="O9" s="18">
        <v>11</v>
      </c>
      <c r="P9" s="18">
        <v>12</v>
      </c>
      <c r="Q9" s="18">
        <v>2025</v>
      </c>
      <c r="S9" s="34"/>
      <c r="T9" s="35"/>
      <c r="V9" s="26"/>
      <c r="W9" s="342"/>
      <c r="X9" s="58"/>
      <c r="Y9" s="26"/>
      <c r="Z9" s="58"/>
      <c r="AA9" s="58"/>
    </row>
    <row r="10" spans="1:27" s="4" customFormat="1" ht="40.4" customHeight="1">
      <c r="A10" s="19" t="s">
        <v>18</v>
      </c>
      <c r="B10" s="19" t="s">
        <v>19</v>
      </c>
      <c r="C10" s="19" t="s">
        <v>365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  <c r="Q10" s="20" t="s">
        <v>20</v>
      </c>
      <c r="S10" s="4" t="s">
        <v>1037</v>
      </c>
      <c r="T10" s="36" t="s">
        <v>23</v>
      </c>
      <c r="U10" s="37" t="s">
        <v>24</v>
      </c>
      <c r="V10" s="26" t="s">
        <v>1193</v>
      </c>
      <c r="W10" s="342"/>
      <c r="X10" s="58"/>
      <c r="Y10" s="26" t="s">
        <v>1194</v>
      </c>
      <c r="Z10" s="58"/>
      <c r="AA10" s="58"/>
    </row>
    <row r="11" spans="1:27" s="3" customFormat="1" ht="25.4" customHeight="1">
      <c r="D11" s="21"/>
      <c r="E11" s="22"/>
      <c r="F11" s="22"/>
      <c r="G11" s="22"/>
      <c r="H11" s="23"/>
      <c r="I11" s="23"/>
      <c r="T11" s="35"/>
      <c r="V11" s="26" t="s">
        <v>1195</v>
      </c>
      <c r="W11" s="342">
        <v>8.0000000000000002E-3</v>
      </c>
      <c r="X11" s="58" t="s">
        <v>1196</v>
      </c>
      <c r="Y11" s="26">
        <v>2520000</v>
      </c>
      <c r="Z11" s="58">
        <f>+Y11/12</f>
        <v>210000</v>
      </c>
      <c r="AA11" s="58"/>
    </row>
    <row r="12" spans="1:27" s="3" customFormat="1" ht="25.4" customHeight="1">
      <c r="D12" s="21" t="s">
        <v>1038</v>
      </c>
      <c r="E12" s="24"/>
      <c r="F12" s="24"/>
      <c r="G12" s="24"/>
      <c r="H12" s="25"/>
      <c r="I12" s="25"/>
      <c r="T12" s="35"/>
      <c r="V12" s="26" t="s">
        <v>1197</v>
      </c>
      <c r="W12" s="342">
        <v>1.4999999999999999E-2</v>
      </c>
      <c r="X12" s="58" t="s">
        <v>1198</v>
      </c>
      <c r="Y12" s="26"/>
      <c r="Z12" s="58"/>
      <c r="AA12" s="58"/>
    </row>
    <row r="13" spans="1:27" s="3" customFormat="1" ht="25.4" customHeight="1">
      <c r="A13" s="3" t="s">
        <v>72</v>
      </c>
      <c r="B13" s="3" t="s">
        <v>65</v>
      </c>
      <c r="D13" s="26" t="s">
        <v>1039</v>
      </c>
      <c r="E13" s="27">
        <f>('S&amp;M'!E157+'R&amp;M'!E158+'A&amp;G'!E158+'F&amp;B Summary'!E130+'F&amp;B Summary'!E57+'Rooms Summary'!E103)*0.0003</f>
        <v>677.37463850490565</v>
      </c>
      <c r="F13" s="27">
        <f>('S&amp;M'!F157+'R&amp;M'!F158+'A&amp;G'!F158+'F&amp;B Summary'!F130+'F&amp;B Summary'!F57+'Rooms Summary'!F103)*0.0003</f>
        <v>687.53035082264148</v>
      </c>
      <c r="G13" s="27">
        <f>('S&amp;M'!G157+'R&amp;M'!G158+'A&amp;G'!G158+'F&amp;B Summary'!G130+'F&amp;B Summary'!G57+'Rooms Summary'!G103)*0.0003</f>
        <v>711.39236192037731</v>
      </c>
      <c r="H13" s="27">
        <f>('S&amp;M'!H157+'R&amp;M'!H158+'A&amp;G'!H158+'F&amp;B Summary'!H130+'F&amp;B Summary'!H57+'Rooms Summary'!H103)*0.0003</f>
        <v>692.11262419471689</v>
      </c>
      <c r="I13" s="27">
        <f>('S&amp;M'!I157+'R&amp;M'!I158+'A&amp;G'!I158+'F&amp;B Summary'!I130+'F&amp;B Summary'!I57+'Rooms Summary'!I103)*0.0003</f>
        <v>757.44469524566023</v>
      </c>
      <c r="J13" s="27">
        <f>('S&amp;M'!J157+'R&amp;M'!J158+'A&amp;G'!J158+'F&amp;B Summary'!J130+'F&amp;B Summary'!J57+'Rooms Summary'!J103)*0.0003</f>
        <v>720.38947546981137</v>
      </c>
      <c r="K13" s="27">
        <f>('S&amp;M'!K157+'R&amp;M'!K158+'A&amp;G'!K158+'F&amp;B Summary'!K130+'F&amp;B Summary'!K57+'Rooms Summary'!K103)*0.0003</f>
        <v>795.51039641094326</v>
      </c>
      <c r="L13" s="27">
        <f>('S&amp;M'!L157+'R&amp;M'!L158+'A&amp;G'!L158+'F&amp;B Summary'!L130+'F&amp;B Summary'!L57+'Rooms Summary'!L103)*0.0003</f>
        <v>766.7655188524526</v>
      </c>
      <c r="M13" s="27">
        <f>('S&amp;M'!M157+'R&amp;M'!M158+'A&amp;G'!M158+'F&amp;B Summary'!M130+'F&amp;B Summary'!M57+'Rooms Summary'!M103)*0.0003</f>
        <v>687.6257285603773</v>
      </c>
      <c r="N13" s="27">
        <f>('S&amp;M'!N157+'R&amp;M'!N158+'A&amp;G'!N158+'F&amp;B Summary'!N130+'F&amp;B Summary'!N57+'Rooms Summary'!N103)*0.0003</f>
        <v>963.03785458415086</v>
      </c>
      <c r="O13" s="27">
        <f>('S&amp;M'!O157+'R&amp;M'!O158+'A&amp;G'!O158+'F&amp;B Summary'!O130+'F&amp;B Summary'!O57+'Rooms Summary'!O103)*0.0003</f>
        <v>827.64378859358487</v>
      </c>
      <c r="P13" s="27">
        <f>('S&amp;M'!P157+'R&amp;M'!P158+'A&amp;G'!P158+'F&amp;B Summary'!P130+'F&amp;B Summary'!P57+'Rooms Summary'!P103)*0.0003</f>
        <v>902.55025691660364</v>
      </c>
      <c r="Q13" s="38">
        <f>SUM(E13:P13)</f>
        <v>9189.3776900762241</v>
      </c>
      <c r="R13" s="39">
        <f>Q13/Summary!$Q$16</f>
        <v>1.1537163050940512E-4</v>
      </c>
      <c r="S13" s="39"/>
      <c r="T13" s="35"/>
      <c r="U13" s="40" t="e">
        <f t="shared" ref="U13:U23" si="0">-IF(Q13-T13=0,0,(Q13-T13)/T13)</f>
        <v>#DIV/0!</v>
      </c>
      <c r="V13" s="26"/>
      <c r="W13" s="342"/>
      <c r="X13" s="58"/>
      <c r="Y13" s="26"/>
      <c r="Z13" s="58"/>
      <c r="AA13" s="58"/>
    </row>
    <row r="14" spans="1:27" s="3" customFormat="1" ht="25.4" customHeight="1">
      <c r="A14" s="3" t="s">
        <v>64</v>
      </c>
      <c r="B14" s="3" t="s">
        <v>65</v>
      </c>
      <c r="D14" s="28" t="s">
        <v>1040</v>
      </c>
      <c r="E14" s="27">
        <f>IF(ROUND(Summary!E16*2%/1.06,2)&lt;210000,210000,ROUND(Summary!E16*2%/1.06,2))</f>
        <v>210000</v>
      </c>
      <c r="F14" s="27">
        <f>IF(ROUND(Summary!F16*2%/1.06,2)&lt;210000,210000,ROUND(Summary!F16*2%/1.06,2))</f>
        <v>210000</v>
      </c>
      <c r="G14" s="27">
        <f>IF(ROUND(Summary!G16*2%/1.06,2)&lt;210000,210000,ROUND(Summary!G16*2%/1.06,2))</f>
        <v>210000</v>
      </c>
      <c r="H14" s="27">
        <f>IF(ROUND(Summary!H16*2%/1.06,2)&lt;210000,210000,ROUND(Summary!H16*2%/1.06,2))</f>
        <v>210000</v>
      </c>
      <c r="I14" s="27">
        <f>IF(ROUND(Summary!I16*2%/1.06,2)&lt;210000,210000,ROUND(Summary!I16*2%/1.06,2))</f>
        <v>210000</v>
      </c>
      <c r="J14" s="27">
        <f>IF(ROUND(Summary!J16*2%/1.06,2)&lt;210000,210000,ROUND(Summary!J16*2%/1.06,2))</f>
        <v>210000</v>
      </c>
      <c r="K14" s="27">
        <f>IF(ROUND(Summary!K16*2%/1.06,2)&lt;210000,210000,ROUND(Summary!K16*2%/1.06,2))</f>
        <v>210000</v>
      </c>
      <c r="L14" s="27">
        <f>IF(ROUND(Summary!L16*2%/1.06,2)&lt;210000,210000,ROUND(Summary!L16*2%/1.06,2))</f>
        <v>210000</v>
      </c>
      <c r="M14" s="27">
        <f>IF(ROUND(Summary!M16*2%/1.06,2)&lt;210000,210000,ROUND(Summary!M16*2%/1.06,2))</f>
        <v>210000</v>
      </c>
      <c r="N14" s="27">
        <f>IF(ROUND(Summary!N16*2%/1.06,2)&lt;210000,210000,ROUND(Summary!N16*2%/1.06,2))</f>
        <v>210000</v>
      </c>
      <c r="O14" s="27">
        <f>IF(ROUND(Summary!O16*2%/1.06,2)&lt;210000,210000,ROUND(Summary!O16*2%/1.06,2))</f>
        <v>210000</v>
      </c>
      <c r="P14" s="27">
        <f>IF(ROUND(Summary!P16*2%/1.06,2)&lt;210000,210000,ROUND(Summary!P16*2%/1.06,2))</f>
        <v>210000</v>
      </c>
      <c r="Q14" s="38">
        <f t="shared" ref="Q14:Q24" si="1">SUM(E14:P14)</f>
        <v>2520000</v>
      </c>
      <c r="R14" s="39">
        <f>Q14/Summary!$Q$16</f>
        <v>3.1638324018140263E-2</v>
      </c>
      <c r="S14" s="39"/>
      <c r="T14" s="35"/>
      <c r="U14" s="40" t="e">
        <f t="shared" si="0"/>
        <v>#DIV/0!</v>
      </c>
      <c r="V14" s="26"/>
      <c r="W14" s="342"/>
      <c r="X14" s="58"/>
      <c r="Y14" s="26"/>
      <c r="Z14" s="58"/>
      <c r="AA14" s="58"/>
    </row>
    <row r="15" spans="1:27" s="3" customFormat="1" ht="25.4" customHeight="1">
      <c r="A15" s="3" t="s">
        <v>67</v>
      </c>
      <c r="B15" s="3" t="s">
        <v>65</v>
      </c>
      <c r="D15" s="26" t="s">
        <v>1041</v>
      </c>
      <c r="E15" s="27"/>
      <c r="F15" s="27"/>
      <c r="G15" s="27"/>
      <c r="H15" s="27"/>
      <c r="I15" s="27"/>
      <c r="J15" s="27"/>
      <c r="K15" s="27"/>
      <c r="L15" s="27"/>
      <c r="M15" s="27"/>
      <c r="Q15" s="38">
        <f t="shared" si="1"/>
        <v>0</v>
      </c>
      <c r="R15" s="39">
        <f>Q15/Summary!$Q$16</f>
        <v>0</v>
      </c>
      <c r="S15" s="39"/>
      <c r="T15" s="35"/>
      <c r="U15" s="40">
        <f t="shared" si="0"/>
        <v>0</v>
      </c>
      <c r="V15" s="26" t="s">
        <v>1199</v>
      </c>
      <c r="W15" s="342">
        <v>0.05</v>
      </c>
      <c r="X15" s="58" t="s">
        <v>1200</v>
      </c>
      <c r="Y15" s="26"/>
      <c r="Z15" s="58"/>
      <c r="AA15" s="58"/>
    </row>
    <row r="16" spans="1:27" s="3" customFormat="1" ht="25.4" customHeight="1">
      <c r="A16" s="3" t="s">
        <v>1042</v>
      </c>
      <c r="B16" s="3" t="s">
        <v>65</v>
      </c>
      <c r="D16" s="26" t="s">
        <v>1043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38">
        <f t="shared" si="1"/>
        <v>0</v>
      </c>
      <c r="R16" s="39">
        <f>Q16/Summary!$Q$16</f>
        <v>0</v>
      </c>
      <c r="S16" s="39"/>
      <c r="T16" s="35"/>
      <c r="U16" s="40">
        <f t="shared" si="0"/>
        <v>0</v>
      </c>
      <c r="V16" s="26"/>
      <c r="W16" s="342"/>
      <c r="X16" s="58"/>
      <c r="Y16" s="26"/>
      <c r="Z16" s="58"/>
      <c r="AA16" s="58"/>
    </row>
    <row r="17" spans="1:27" s="3" customFormat="1" ht="25.4" customHeight="1">
      <c r="A17" s="3" t="s">
        <v>1044</v>
      </c>
      <c r="B17" s="3" t="s">
        <v>65</v>
      </c>
      <c r="D17" s="29" t="s">
        <v>1045</v>
      </c>
      <c r="E17" s="27">
        <v>108800</v>
      </c>
      <c r="F17" s="27">
        <v>108800</v>
      </c>
      <c r="G17" s="27">
        <v>108800</v>
      </c>
      <c r="H17" s="27">
        <v>108800</v>
      </c>
      <c r="I17" s="27">
        <v>108800</v>
      </c>
      <c r="J17" s="27">
        <v>108800</v>
      </c>
      <c r="K17" s="27">
        <v>108800</v>
      </c>
      <c r="L17" s="27">
        <v>108800</v>
      </c>
      <c r="M17" s="27">
        <v>108800</v>
      </c>
      <c r="N17" s="27">
        <v>108800</v>
      </c>
      <c r="O17" s="27">
        <v>108800</v>
      </c>
      <c r="P17" s="27">
        <v>108800</v>
      </c>
      <c r="Q17" s="38">
        <f t="shared" si="1"/>
        <v>1305600</v>
      </c>
      <c r="R17" s="39">
        <f>Q17/Summary!$Q$16</f>
        <v>1.6391665015112671E-2</v>
      </c>
      <c r="S17" s="39"/>
      <c r="T17" s="35"/>
      <c r="U17" s="40" t="e">
        <f t="shared" si="0"/>
        <v>#DIV/0!</v>
      </c>
      <c r="V17" s="343"/>
      <c r="W17" s="183"/>
      <c r="X17" s="58"/>
      <c r="Y17" s="26"/>
      <c r="Z17" s="58"/>
      <c r="AA17" s="58"/>
    </row>
    <row r="18" spans="1:27" s="3" customFormat="1" ht="25.4" customHeight="1">
      <c r="A18" s="3" t="s">
        <v>92</v>
      </c>
      <c r="B18" s="3" t="s">
        <v>65</v>
      </c>
      <c r="D18" s="29" t="s">
        <v>1046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38">
        <f t="shared" si="1"/>
        <v>0</v>
      </c>
      <c r="R18" s="39">
        <f>Q18/Summary!$Q$16</f>
        <v>0</v>
      </c>
      <c r="S18" s="39"/>
      <c r="T18" s="35"/>
      <c r="U18" s="40">
        <f t="shared" si="0"/>
        <v>0</v>
      </c>
      <c r="V18" s="26"/>
      <c r="W18" s="342"/>
      <c r="X18" s="58"/>
      <c r="Y18" s="26"/>
      <c r="Z18" s="58"/>
      <c r="AA18" s="58"/>
    </row>
    <row r="19" spans="1:27" s="3" customFormat="1" ht="25.4" customHeight="1">
      <c r="A19" s="3" t="s">
        <v>76</v>
      </c>
      <c r="B19" s="3" t="s">
        <v>65</v>
      </c>
      <c r="D19" s="26" t="s">
        <v>1047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8">
        <f t="shared" si="1"/>
        <v>0</v>
      </c>
      <c r="R19" s="39">
        <f>Q19/Summary!$Q$16</f>
        <v>0</v>
      </c>
      <c r="S19" s="39"/>
      <c r="T19" s="35"/>
      <c r="U19" s="40">
        <f t="shared" si="0"/>
        <v>0</v>
      </c>
      <c r="V19" s="26"/>
      <c r="W19" s="342"/>
      <c r="X19" s="58"/>
      <c r="Y19" s="26"/>
      <c r="Z19" s="58"/>
      <c r="AA19" s="58"/>
    </row>
    <row r="20" spans="1:27" s="3" customFormat="1" ht="25.4" customHeight="1">
      <c r="A20" s="3" t="s">
        <v>94</v>
      </c>
      <c r="B20" s="3" t="s">
        <v>65</v>
      </c>
      <c r="D20" s="29" t="s">
        <v>1048</v>
      </c>
      <c r="E20" s="27">
        <f>ROUND(+Summary!E16*1%,2)</f>
        <v>61383.61</v>
      </c>
      <c r="F20" s="27">
        <f>ROUND(+Summary!F16*1%,2)</f>
        <v>78576.78</v>
      </c>
      <c r="G20" s="27">
        <f>ROUND(+Summary!G16*1%,2)</f>
        <v>55066.28</v>
      </c>
      <c r="H20" s="27">
        <f>ROUND(+Summary!H16*1%,2)</f>
        <v>52036.77</v>
      </c>
      <c r="I20" s="27">
        <f>ROUND(+Summary!I16*1%,2)</f>
        <v>67791.22</v>
      </c>
      <c r="J20" s="27">
        <f>ROUND(+Summary!J16*1%,2)</f>
        <v>54364.26</v>
      </c>
      <c r="K20" s="27">
        <f>ROUND(+Summary!K16*1%,2)</f>
        <v>73710.679999999993</v>
      </c>
      <c r="L20" s="27">
        <f>ROUND(+Summary!L16*1%,2)</f>
        <v>75864.41</v>
      </c>
      <c r="M20" s="27">
        <f>ROUND(+Summary!M16*1%,2)</f>
        <v>49001.69</v>
      </c>
      <c r="N20" s="27">
        <f>ROUND(+Summary!N16*1%,2)</f>
        <v>82950.38</v>
      </c>
      <c r="O20" s="27">
        <f>ROUND(+Summary!O16*1%,2)</f>
        <v>70411.92</v>
      </c>
      <c r="P20" s="27">
        <f>ROUND(+Summary!P16*1%,2)</f>
        <v>75344.39</v>
      </c>
      <c r="Q20" s="38">
        <f t="shared" si="1"/>
        <v>796502.39</v>
      </c>
      <c r="R20" s="39">
        <f>Q20/Summary!$Q$16</f>
        <v>1.000000027620759E-2</v>
      </c>
      <c r="S20" s="39"/>
      <c r="T20" s="35"/>
      <c r="U20" s="40" t="e">
        <f t="shared" si="0"/>
        <v>#DIV/0!</v>
      </c>
      <c r="V20" s="26" t="s">
        <v>1201</v>
      </c>
      <c r="W20" s="342">
        <v>0.01</v>
      </c>
      <c r="X20" s="58" t="s">
        <v>1202</v>
      </c>
      <c r="Y20" s="26"/>
      <c r="Z20" s="58"/>
      <c r="AA20" s="58"/>
    </row>
    <row r="21" spans="1:27" s="3" customFormat="1" ht="25.4" customHeight="1">
      <c r="A21" s="3" t="s">
        <v>1049</v>
      </c>
      <c r="B21" s="3" t="s">
        <v>65</v>
      </c>
      <c r="D21" s="26" t="s">
        <v>1050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38">
        <f t="shared" si="1"/>
        <v>0</v>
      </c>
      <c r="R21" s="39">
        <f>Q21/Summary!$Q$16</f>
        <v>0</v>
      </c>
      <c r="S21" s="39"/>
      <c r="T21" s="35"/>
      <c r="U21" s="40">
        <f t="shared" si="0"/>
        <v>0</v>
      </c>
      <c r="V21" s="26"/>
      <c r="W21" s="342"/>
      <c r="X21" s="58"/>
      <c r="Y21" s="26"/>
      <c r="Z21" s="58"/>
      <c r="AA21" s="58"/>
    </row>
    <row r="22" spans="1:27" s="3" customFormat="1" ht="25.4" customHeight="1">
      <c r="A22" s="3" t="s">
        <v>1051</v>
      </c>
      <c r="B22" s="3" t="s">
        <v>65</v>
      </c>
      <c r="D22" s="26" t="s">
        <v>1052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8">
        <f t="shared" si="1"/>
        <v>0</v>
      </c>
      <c r="R22" s="39">
        <f>Q22/Summary!$Q$16</f>
        <v>0</v>
      </c>
      <c r="S22" s="39"/>
      <c r="T22" s="35"/>
      <c r="U22" s="40">
        <f t="shared" si="0"/>
        <v>0</v>
      </c>
      <c r="W22" s="342"/>
      <c r="X22" s="58"/>
      <c r="Y22" s="26"/>
      <c r="Z22" s="58"/>
      <c r="AA22" s="58"/>
    </row>
    <row r="23" spans="1:27" s="3" customFormat="1" ht="25.4" customHeight="1">
      <c r="A23" s="3" t="s">
        <v>1053</v>
      </c>
      <c r="B23" s="3" t="s">
        <v>65</v>
      </c>
      <c r="D23" s="26" t="s">
        <v>1054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8">
        <f t="shared" si="1"/>
        <v>0</v>
      </c>
      <c r="R23" s="39">
        <f>Q23/Summary!$Q$16</f>
        <v>0</v>
      </c>
      <c r="S23" s="39"/>
      <c r="T23" s="35"/>
      <c r="U23" s="40">
        <f t="shared" si="0"/>
        <v>0</v>
      </c>
      <c r="V23" s="26"/>
      <c r="W23" s="342"/>
      <c r="X23" s="58"/>
      <c r="Y23" s="26"/>
      <c r="Z23" s="58"/>
      <c r="AA23" s="58"/>
    </row>
    <row r="24" spans="1:27" s="3" customFormat="1" ht="25.4" customHeight="1">
      <c r="A24" s="3" t="s">
        <v>83</v>
      </c>
      <c r="B24" s="3" t="s">
        <v>65</v>
      </c>
      <c r="D24" s="26" t="s">
        <v>1055</v>
      </c>
      <c r="E24" s="27">
        <v>0</v>
      </c>
      <c r="F24" s="27"/>
      <c r="G24" s="27"/>
      <c r="H24" s="27"/>
      <c r="I24" s="27"/>
      <c r="J24" s="27"/>
      <c r="K24" s="27"/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38">
        <f t="shared" si="1"/>
        <v>0</v>
      </c>
      <c r="R24" s="39">
        <f>Q24/Summary!$Q$16</f>
        <v>0</v>
      </c>
      <c r="S24" s="39"/>
      <c r="T24" s="35"/>
      <c r="U24" s="40"/>
      <c r="V24" s="26"/>
      <c r="W24" s="342"/>
      <c r="X24" s="58"/>
      <c r="Y24" s="26"/>
      <c r="Z24" s="58"/>
      <c r="AA24" s="58"/>
    </row>
    <row r="25" spans="1:27" s="3" customFormat="1" ht="25.4" customHeight="1">
      <c r="D25" s="26" t="s">
        <v>1056</v>
      </c>
      <c r="E25" s="30">
        <f>SUM(E13:E24)</f>
        <v>380860.98463850492</v>
      </c>
      <c r="F25" s="30">
        <f t="shared" ref="F25:P25" si="2">SUM(F13:F24)</f>
        <v>398064.31035082263</v>
      </c>
      <c r="G25" s="30">
        <f t="shared" si="2"/>
        <v>374577.67236192035</v>
      </c>
      <c r="H25" s="30">
        <f t="shared" si="2"/>
        <v>371528.88262419472</v>
      </c>
      <c r="I25" s="30">
        <f t="shared" si="2"/>
        <v>387348.66469524568</v>
      </c>
      <c r="J25" s="30">
        <f t="shared" si="2"/>
        <v>373884.64947546984</v>
      </c>
      <c r="K25" s="30">
        <f t="shared" si="2"/>
        <v>393306.19039641094</v>
      </c>
      <c r="L25" s="30">
        <f t="shared" si="2"/>
        <v>395431.17551885243</v>
      </c>
      <c r="M25" s="30">
        <f t="shared" si="2"/>
        <v>368489.31572856038</v>
      </c>
      <c r="N25" s="30">
        <f t="shared" si="2"/>
        <v>402713.41785458417</v>
      </c>
      <c r="O25" s="30">
        <f t="shared" si="2"/>
        <v>390039.56378859357</v>
      </c>
      <c r="P25" s="30">
        <f t="shared" si="2"/>
        <v>395046.94025691663</v>
      </c>
      <c r="Q25" s="30">
        <f t="shared" ref="Q25" si="3">SUM(Q13:Q24)</f>
        <v>4631291.7676900765</v>
      </c>
      <c r="R25" s="39">
        <f>Q25/Summary!$Q$16</f>
        <v>5.8145360939969935E-2</v>
      </c>
      <c r="S25" s="39"/>
      <c r="T25" s="35"/>
      <c r="U25" s="40" t="e">
        <f>-IF(Q25-T25=0,0,(Q25-T25)/T25)</f>
        <v>#DIV/0!</v>
      </c>
      <c r="V25" s="26"/>
      <c r="W25" s="342"/>
      <c r="X25" s="58"/>
      <c r="Y25" s="26"/>
      <c r="Z25" s="58"/>
      <c r="AA25" s="58"/>
    </row>
    <row r="26" spans="1:27" s="3" customFormat="1" ht="25.4" customHeight="1"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41"/>
      <c r="T26" s="35">
        <v>0</v>
      </c>
      <c r="U26" s="40"/>
      <c r="V26" s="26"/>
      <c r="W26" s="342"/>
      <c r="X26" s="58"/>
      <c r="Y26" s="26"/>
      <c r="Z26" s="58"/>
      <c r="AA26" s="58"/>
    </row>
    <row r="27" spans="1:27" s="3" customFormat="1" ht="25.4" customHeight="1">
      <c r="A27" s="3" t="s">
        <v>79</v>
      </c>
      <c r="B27" s="3" t="s">
        <v>65</v>
      </c>
      <c r="D27" s="26" t="s">
        <v>1057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41">
        <f t="shared" ref="Q27" si="4">SUM(E27:P27)</f>
        <v>0</v>
      </c>
      <c r="T27" s="35">
        <v>0</v>
      </c>
      <c r="U27" s="40">
        <f>-IF(Q27-T27=0,0,(Q27-T27)/T27)</f>
        <v>0</v>
      </c>
      <c r="V27" s="26"/>
      <c r="W27" s="342"/>
      <c r="X27" s="58"/>
      <c r="Y27" s="26"/>
      <c r="Z27" s="58"/>
      <c r="AA27" s="58"/>
    </row>
    <row r="28" spans="1:27" ht="26.25" customHeight="1">
      <c r="X28" s="58"/>
      <c r="Y28" s="26"/>
      <c r="Z28" s="58"/>
      <c r="AA28" s="58"/>
    </row>
    <row r="29" spans="1:27" ht="26.25" customHeight="1">
      <c r="X29" s="58"/>
      <c r="Y29" s="26"/>
      <c r="Z29" s="58"/>
      <c r="AA29" s="58"/>
    </row>
    <row r="33" spans="8:8" ht="26.25" customHeight="1">
      <c r="H33" s="31"/>
    </row>
    <row r="57" spans="22:27" ht="26.25" customHeight="1">
      <c r="V57" s="26" t="s">
        <v>1191</v>
      </c>
    </row>
    <row r="58" spans="22:27" ht="26.25" customHeight="1">
      <c r="V58" s="326"/>
      <c r="W58" s="344"/>
      <c r="X58" s="273"/>
      <c r="Y58" s="306"/>
      <c r="Z58" s="273"/>
      <c r="AA58" s="273"/>
    </row>
    <row r="59" spans="22:27" ht="26.25" customHeight="1">
      <c r="V59" s="326"/>
      <c r="W59" s="344"/>
      <c r="X59" s="273"/>
      <c r="Y59" s="306"/>
      <c r="Z59" s="273"/>
      <c r="AA59" s="273"/>
    </row>
    <row r="60" spans="22:27" ht="26.25" customHeight="1">
      <c r="V60" s="326"/>
      <c r="W60" s="344"/>
      <c r="X60" s="273"/>
      <c r="Y60" s="306"/>
      <c r="Z60" s="273"/>
      <c r="AA60" s="273"/>
    </row>
    <row r="61" spans="22:27" ht="26.25" customHeight="1">
      <c r="V61" s="326">
        <v>25132.800000000003</v>
      </c>
      <c r="W61" s="344"/>
      <c r="X61" s="273"/>
      <c r="Y61" s="306"/>
      <c r="Z61" s="273"/>
      <c r="AA61" s="273"/>
    </row>
    <row r="68" spans="22:27" ht="26.25" customHeight="1">
      <c r="V68" s="26">
        <v>64427.199999999983</v>
      </c>
    </row>
    <row r="69" spans="22:27" ht="26.25" customHeight="1">
      <c r="V69" s="326"/>
      <c r="W69" s="344"/>
      <c r="X69" s="273"/>
      <c r="Y69" s="306"/>
      <c r="Z69" s="273"/>
      <c r="AA69" s="273"/>
    </row>
    <row r="70" spans="22:27" ht="26.25" customHeight="1">
      <c r="V70" s="326">
        <v>4188.8</v>
      </c>
      <c r="W70" s="344"/>
      <c r="X70" s="273"/>
      <c r="Y70" s="306"/>
      <c r="Z70" s="273"/>
      <c r="AA70" s="273"/>
    </row>
    <row r="75" spans="22:27" ht="26.25" customHeight="1">
      <c r="V75" s="26">
        <v>24534.400000000001</v>
      </c>
    </row>
    <row r="76" spans="22:27" ht="26.25" customHeight="1">
      <c r="V76" s="326">
        <v>11968</v>
      </c>
      <c r="W76" s="344"/>
      <c r="X76" s="273"/>
      <c r="Y76" s="306"/>
      <c r="Z76" s="273"/>
      <c r="AA76" s="273"/>
    </row>
    <row r="77" spans="22:27" ht="26.25" customHeight="1">
      <c r="V77" s="26">
        <v>8976</v>
      </c>
    </row>
    <row r="78" spans="22:27" ht="26.25" customHeight="1">
      <c r="V78" s="326">
        <v>6582.4</v>
      </c>
      <c r="W78" s="344"/>
      <c r="X78" s="273"/>
      <c r="Y78" s="306"/>
      <c r="Z78" s="273"/>
      <c r="AA78" s="273"/>
    </row>
    <row r="79" spans="22:27" ht="26.25" customHeight="1">
      <c r="V79" s="26">
        <v>4190.3999999999996</v>
      </c>
    </row>
    <row r="80" spans="22:27" ht="26.25" customHeight="1">
      <c r="V80" s="26">
        <f>SUM(V58:V79)</f>
        <v>149999.99999999997</v>
      </c>
    </row>
  </sheetData>
  <phoneticPr fontId="56" type="noConversion"/>
  <dataValidations count="13">
    <dataValidation type="textLength" errorStyle="information" allowBlank="1" showInputMessage="1" showErrorMessage="1" error="XLBVal:8=Oct 2016_x000d__x000a_" sqref="D5">
      <formula1>0</formula1>
      <formula2>300</formula2>
    </dataValidation>
    <dataValidation type="textLength" errorStyle="information" allowBlank="1" showInputMessage="1" showErrorMessage="1" error="XLBVal:5=-2586288.67_x000d__x000a_" sqref="H12">
      <formula1>0</formula1>
      <formula2>300</formula2>
    </dataValidation>
    <dataValidation type="textLength" errorStyle="information" allowBlank="1" showInputMessage="1" showErrorMessage="1" error="XLBVal:6=6595485.04_x000d__x000a_" sqref="G12">
      <formula1>0</formula1>
      <formula2>300</formula2>
    </dataValidation>
    <dataValidation type="textLength" errorStyle="information" allowBlank="1" showInputMessage="1" showErrorMessage="1" error="XLBVal:6=6688509.16_x000d__x000a_" sqref="E12">
      <formula1>0</formula1>
      <formula2>300</formula2>
    </dataValidation>
    <dataValidation type="textLength" errorStyle="information" allowBlank="1" showInputMessage="1" showErrorMessage="1" error="XLBVal:2=0_x000d__x000a_" sqref="F12 E16:P16 E21:P21 E23:L23 Q13:Q24 E25:Q27 E18:P19">
      <formula1>0</formula1>
      <formula2>300</formula2>
    </dataValidation>
    <dataValidation type="textLength" errorStyle="information" allowBlank="1" showInputMessage="1" showErrorMessage="1" error="XLBVal:5=15426.66_x000d__x000a_" sqref="I12">
      <formula1>0</formula1>
      <formula2>300</formula2>
    </dataValidation>
    <dataValidation type="textLength" errorStyle="information" allowBlank="1" showInputMessage="1" showErrorMessage="1" error="XLBVal:6=50958.19_x000d__x000a_" sqref="E13:P13">
      <formula1>0</formula1>
      <formula2>300</formula2>
    </dataValidation>
    <dataValidation type="textLength" errorStyle="information" allowBlank="1" showInputMessage="1" showErrorMessage="1" error="XLBVal:6=243093.25_x000d__x000a_" sqref="E14:P14">
      <formula1>0</formula1>
      <formula2>300</formula2>
    </dataValidation>
    <dataValidation type="textLength" errorStyle="information" allowBlank="1" showInputMessage="1" showErrorMessage="1" error="XLBVal:6=112295.75_x000d__x000a_" sqref="E15:P15">
      <formula1>0</formula1>
      <formula2>300</formula2>
    </dataValidation>
    <dataValidation type="textLength" errorStyle="information" allowBlank="1" showInputMessage="1" showErrorMessage="1" error="XLBVal:6=116348.21_x000d__x000a_" sqref="E17:P17">
      <formula1>0</formula1>
      <formula2>300</formula2>
    </dataValidation>
    <dataValidation type="textLength" errorStyle="information" allowBlank="1" showInputMessage="1" showErrorMessage="1" error="XLBVal:6=232183.48_x000d__x000a_" sqref="E20:P20">
      <formula1>0</formula1>
      <formula2>300</formula2>
    </dataValidation>
    <dataValidation type="textLength" errorStyle="information" allowBlank="1" showInputMessage="1" showErrorMessage="1" error="XLBVal:6=50287.96_x000d__x000a_" sqref="E22:P22 M23:P23">
      <formula1>0</formula1>
      <formula2>300</formula2>
    </dataValidation>
    <dataValidation type="textLength" errorStyle="information" allowBlank="1" showInputMessage="1" showErrorMessage="1" error="XLBVal:6=0_x000d__x000a_" sqref="E24:P24">
      <formula1>0</formula1>
      <formula2>300</formula2>
    </dataValidation>
  </dataValidations>
  <printOptions horizontalCentered="1"/>
  <pageMargins left="0.118110236220472" right="0.118110236220472" top="0.59055118110236204" bottom="0.39370078740157499" header="0" footer="0"/>
  <pageSetup paperSize="9" scale="35" fitToHeight="0" orientation="landscape" r:id="rId1"/>
  <headerFooter>
    <oddFooter>&amp;L&amp;"微软雅黑,Regular"&amp;F&amp;C&amp;"微软雅黑,Regular"Page &amp;P of &amp;N&amp;R&amp;"微软雅黑,Regular"&amp;D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40</vt:i4>
      </vt:variant>
      <vt:variant>
        <vt:lpstr>命名范围</vt:lpstr>
      </vt:variant>
      <vt:variant>
        <vt:i4>82</vt:i4>
      </vt:variant>
    </vt:vector>
  </HeadingPairs>
  <TitlesOfParts>
    <vt:vector size="122" baseType="lpstr">
      <vt:lpstr>Version</vt:lpstr>
      <vt:lpstr>Parameter</vt:lpstr>
      <vt:lpstr>Summary</vt:lpstr>
      <vt:lpstr>Rooms Summary</vt:lpstr>
      <vt:lpstr>Front Office</vt:lpstr>
      <vt:lpstr>HSKP</vt:lpstr>
      <vt:lpstr>Reservation</vt:lpstr>
      <vt:lpstr>ROOMS Admin</vt:lpstr>
      <vt:lpstr>F&amp;B Summary</vt:lpstr>
      <vt:lpstr>F&amp;B Admin</vt:lpstr>
      <vt:lpstr>Fangfei Lounge</vt:lpstr>
      <vt:lpstr>Royal Court</vt:lpstr>
      <vt:lpstr>MP Cafe</vt:lpstr>
      <vt:lpstr>Pingju Zhuhai</vt:lpstr>
      <vt:lpstr>Lobby Lounge</vt:lpstr>
      <vt:lpstr>Banquet</vt:lpstr>
      <vt:lpstr>Main Kitchen</vt:lpstr>
      <vt:lpstr>Room Service</vt:lpstr>
      <vt:lpstr>Minibar</vt:lpstr>
      <vt:lpstr>STW</vt:lpstr>
      <vt:lpstr>OOD</vt:lpstr>
      <vt:lpstr>Health Club</vt:lpstr>
      <vt:lpstr>Telephone</vt:lpstr>
      <vt:lpstr>Guest Laundry</vt:lpstr>
      <vt:lpstr>BC</vt:lpstr>
      <vt:lpstr>DYT Galleria</vt:lpstr>
      <vt:lpstr>Apartment</vt:lpstr>
      <vt:lpstr>Transportation</vt:lpstr>
      <vt:lpstr>A&amp;G</vt:lpstr>
      <vt:lpstr>EO</vt:lpstr>
      <vt:lpstr>Finance</vt:lpstr>
      <vt:lpstr>HR</vt:lpstr>
      <vt:lpstr>Security</vt:lpstr>
      <vt:lpstr>IT</vt:lpstr>
      <vt:lpstr>R&amp;M</vt:lpstr>
      <vt:lpstr>Utilities</vt:lpstr>
      <vt:lpstr>S&amp;M</vt:lpstr>
      <vt:lpstr>Laundry</vt:lpstr>
      <vt:lpstr>Staff Canteen</vt:lpstr>
      <vt:lpstr>Fixed Charge</vt:lpstr>
      <vt:lpstr>BUCODE</vt:lpstr>
      <vt:lpstr>CP</vt:lpstr>
      <vt:lpstr>HotelnameC</vt:lpstr>
      <vt:lpstr>HotelnameE</vt:lpstr>
      <vt:lpstr>LEDGER</vt:lpstr>
      <vt:lpstr>LEDGER_K</vt:lpstr>
      <vt:lpstr>'A&amp;G'!Print_Area</vt:lpstr>
      <vt:lpstr>Apartment!Print_Area</vt:lpstr>
      <vt:lpstr>Banquet!Print_Area</vt:lpstr>
      <vt:lpstr>BC!Print_Area</vt:lpstr>
      <vt:lpstr>'DYT Galleria'!Print_Area</vt:lpstr>
      <vt:lpstr>EO!Print_Area</vt:lpstr>
      <vt:lpstr>'F&amp;B Admin'!Print_Area</vt:lpstr>
      <vt:lpstr>'F&amp;B Summary'!Print_Area</vt:lpstr>
      <vt:lpstr>'Fangfei Lounge'!Print_Area</vt:lpstr>
      <vt:lpstr>Finance!Print_Area</vt:lpstr>
      <vt:lpstr>'Fixed Charge'!Print_Area</vt:lpstr>
      <vt:lpstr>'Front Office'!Print_Area</vt:lpstr>
      <vt:lpstr>'Guest Laundry'!Print_Area</vt:lpstr>
      <vt:lpstr>'Health Club'!Print_Area</vt:lpstr>
      <vt:lpstr>HR!Print_Area</vt:lpstr>
      <vt:lpstr>HSKP!Print_Area</vt:lpstr>
      <vt:lpstr>IT!Print_Area</vt:lpstr>
      <vt:lpstr>Laundry!Print_Area</vt:lpstr>
      <vt:lpstr>'Lobby Lounge'!Print_Area</vt:lpstr>
      <vt:lpstr>'Main Kitchen'!Print_Area</vt:lpstr>
      <vt:lpstr>Minibar!Print_Area</vt:lpstr>
      <vt:lpstr>'MP Cafe'!Print_Area</vt:lpstr>
      <vt:lpstr>OOD!Print_Area</vt:lpstr>
      <vt:lpstr>'Pingju Zhuhai'!Print_Area</vt:lpstr>
      <vt:lpstr>'R&amp;M'!Print_Area</vt:lpstr>
      <vt:lpstr>Reservation!Print_Area</vt:lpstr>
      <vt:lpstr>'Room Service'!Print_Area</vt:lpstr>
      <vt:lpstr>'ROOMS Admin'!Print_Area</vt:lpstr>
      <vt:lpstr>'Rooms Summary'!Print_Area</vt:lpstr>
      <vt:lpstr>'Royal Court'!Print_Area</vt:lpstr>
      <vt:lpstr>'S&amp;M'!Print_Area</vt:lpstr>
      <vt:lpstr>Security!Print_Area</vt:lpstr>
      <vt:lpstr>'Staff Canteen'!Print_Area</vt:lpstr>
      <vt:lpstr>STW!Print_Area</vt:lpstr>
      <vt:lpstr>Summary!Print_Area</vt:lpstr>
      <vt:lpstr>Telephone!Print_Area</vt:lpstr>
      <vt:lpstr>Transportation!Print_Area</vt:lpstr>
      <vt:lpstr>Utilities!Print_Area</vt:lpstr>
      <vt:lpstr>'A&amp;G'!Print_Titles</vt:lpstr>
      <vt:lpstr>Apartment!Print_Titles</vt:lpstr>
      <vt:lpstr>Banquet!Print_Titles</vt:lpstr>
      <vt:lpstr>BC!Print_Titles</vt:lpstr>
      <vt:lpstr>'DYT Galleria'!Print_Titles</vt:lpstr>
      <vt:lpstr>EO!Print_Titles</vt:lpstr>
      <vt:lpstr>'F&amp;B Admin'!Print_Titles</vt:lpstr>
      <vt:lpstr>'F&amp;B Summary'!Print_Titles</vt:lpstr>
      <vt:lpstr>'Fangfei Lounge'!Print_Titles</vt:lpstr>
      <vt:lpstr>Finance!Print_Titles</vt:lpstr>
      <vt:lpstr>'Fixed Charge'!Print_Titles</vt:lpstr>
      <vt:lpstr>'Front Office'!Print_Titles</vt:lpstr>
      <vt:lpstr>'Guest Laundry'!Print_Titles</vt:lpstr>
      <vt:lpstr>'Health Club'!Print_Titles</vt:lpstr>
      <vt:lpstr>HR!Print_Titles</vt:lpstr>
      <vt:lpstr>HSKP!Print_Titles</vt:lpstr>
      <vt:lpstr>IT!Print_Titles</vt:lpstr>
      <vt:lpstr>Laundry!Print_Titles</vt:lpstr>
      <vt:lpstr>'Lobby Lounge'!Print_Titles</vt:lpstr>
      <vt:lpstr>'Main Kitchen'!Print_Titles</vt:lpstr>
      <vt:lpstr>Minibar!Print_Titles</vt:lpstr>
      <vt:lpstr>'MP Cafe'!Print_Titles</vt:lpstr>
      <vt:lpstr>OOD!Print_Titles</vt:lpstr>
      <vt:lpstr>'Pingju Zhuhai'!Print_Titles</vt:lpstr>
      <vt:lpstr>'R&amp;M'!Print_Titles</vt:lpstr>
      <vt:lpstr>Reservation!Print_Titles</vt:lpstr>
      <vt:lpstr>'Room Service'!Print_Titles</vt:lpstr>
      <vt:lpstr>'ROOMS Admin'!Print_Titles</vt:lpstr>
      <vt:lpstr>'Rooms Summary'!Print_Titles</vt:lpstr>
      <vt:lpstr>'Royal Court'!Print_Titles</vt:lpstr>
      <vt:lpstr>'S&amp;M'!Print_Titles</vt:lpstr>
      <vt:lpstr>Security!Print_Titles</vt:lpstr>
      <vt:lpstr>'Staff Canteen'!Print_Titles</vt:lpstr>
      <vt:lpstr>STW!Print_Titles</vt:lpstr>
      <vt:lpstr>Telephone!Print_Titles</vt:lpstr>
      <vt:lpstr>Transportation!Print_Titles</vt:lpstr>
      <vt:lpstr>Utilities!Print_Titles</vt:lpstr>
      <vt:lpstr>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 Yang</dc:creator>
  <cp:lastModifiedBy>lenovo</cp:lastModifiedBy>
  <cp:lastPrinted>2024-10-22T05:49:41Z</cp:lastPrinted>
  <dcterms:created xsi:type="dcterms:W3CDTF">2016-03-15T05:30:00Z</dcterms:created>
  <dcterms:modified xsi:type="dcterms:W3CDTF">2024-10-22T05:50:56Z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8F2C25DE6B73483C87EE3F52196D4188</vt:lpwstr>
  </property>
  <property fmtid="{D5CDD505-2E9C-101B-9397-08002B2CF9AE}" pid="3" name="KSOProductBuildVer">
    <vt:lpwstr>2052-11.1.0.10700</vt:lpwstr>
  </property>
</Properties>
</file>